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660" activeTab="1"/>
  </bookViews>
  <sheets>
    <sheet name="Oktoober '14" sheetId="1" r:id="rId1"/>
    <sheet name="10 kuud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D19" i="2" l="1"/>
  <c r="AC19" i="2"/>
  <c r="AA22" i="2"/>
  <c r="AA19" i="2"/>
  <c r="AD27" i="2" l="1"/>
  <c r="AC27" i="2"/>
  <c r="AB27" i="2"/>
  <c r="AB21" i="2"/>
  <c r="AD21" i="2" s="1"/>
  <c r="AB20" i="2"/>
  <c r="AD20" i="2" s="1"/>
  <c r="AB18" i="2"/>
  <c r="AB17" i="2"/>
  <c r="AB16" i="2"/>
  <c r="AB15" i="2"/>
  <c r="W7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V70" i="2"/>
  <c r="V59" i="2"/>
  <c r="V66" i="2"/>
  <c r="V65" i="2"/>
  <c r="V63" i="2"/>
  <c r="V62" i="2"/>
  <c r="V61" i="2"/>
  <c r="V60" i="2"/>
  <c r="V58" i="2"/>
  <c r="V57" i="2"/>
  <c r="V56" i="2"/>
  <c r="V54" i="2"/>
  <c r="V53" i="2"/>
  <c r="V52" i="2"/>
  <c r="W50" i="2"/>
  <c r="V50" i="2"/>
  <c r="W48" i="2"/>
  <c r="V48" i="2"/>
  <c r="C50" i="2"/>
  <c r="O65" i="2"/>
  <c r="W9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12" i="2"/>
  <c r="V15" i="2"/>
  <c r="V16" i="2"/>
  <c r="V18" i="2"/>
  <c r="V19" i="2"/>
  <c r="V20" i="2"/>
  <c r="V22" i="2"/>
  <c r="V23" i="2"/>
  <c r="V24" i="2"/>
  <c r="V25" i="2"/>
  <c r="V27" i="2"/>
  <c r="V28" i="2"/>
  <c r="V12" i="2"/>
  <c r="V14" i="2"/>
  <c r="V9" i="2"/>
  <c r="T31" i="2"/>
  <c r="W31" i="2" s="1"/>
  <c r="U31" i="2"/>
  <c r="G57" i="2"/>
  <c r="O68" i="2"/>
  <c r="AC18" i="2" l="1"/>
  <c r="AD18" i="2"/>
  <c r="AC15" i="2"/>
  <c r="AD15" i="2"/>
  <c r="V31" i="2"/>
  <c r="AB22" i="2"/>
  <c r="D6" i="2"/>
  <c r="D9" i="2" s="1"/>
  <c r="C9" i="2"/>
  <c r="G30" i="2"/>
  <c r="G26" i="2"/>
  <c r="G28" i="2"/>
  <c r="G25" i="2"/>
  <c r="G24" i="2"/>
  <c r="D22" i="2"/>
  <c r="L22" i="2" s="1"/>
  <c r="D17" i="2"/>
  <c r="P48" i="2"/>
  <c r="J9" i="2"/>
  <c r="I9" i="2"/>
  <c r="F9" i="2"/>
  <c r="K8" i="2"/>
  <c r="H8" i="2"/>
  <c r="G8" i="2"/>
  <c r="E8" i="2"/>
  <c r="L8" i="2" s="1"/>
  <c r="K7" i="2"/>
  <c r="K9" i="2" s="1"/>
  <c r="H7" i="2"/>
  <c r="G7" i="2"/>
  <c r="L7" i="2" s="1"/>
  <c r="E7" i="2"/>
  <c r="H6" i="2"/>
  <c r="H9" i="2" s="1"/>
  <c r="G6" i="2"/>
  <c r="G9" i="2" s="1"/>
  <c r="E6" i="2"/>
  <c r="K31" i="2"/>
  <c r="D30" i="2"/>
  <c r="L30" i="2" s="1"/>
  <c r="D29" i="2"/>
  <c r="L29" i="2" s="1"/>
  <c r="I31" i="2"/>
  <c r="H28" i="2"/>
  <c r="D28" i="2"/>
  <c r="D27" i="2"/>
  <c r="L27" i="2" s="1"/>
  <c r="D26" i="2"/>
  <c r="L26" i="2" s="1"/>
  <c r="L25" i="2"/>
  <c r="D25" i="2"/>
  <c r="H24" i="2"/>
  <c r="F24" i="2"/>
  <c r="D24" i="2"/>
  <c r="L24" i="2" s="1"/>
  <c r="G23" i="2"/>
  <c r="D23" i="2"/>
  <c r="L23" i="2" s="1"/>
  <c r="J31" i="2"/>
  <c r="G22" i="2"/>
  <c r="F22" i="2"/>
  <c r="G21" i="2"/>
  <c r="D21" i="2"/>
  <c r="L21" i="2" s="1"/>
  <c r="G20" i="2"/>
  <c r="D20" i="2"/>
  <c r="L20" i="2" s="1"/>
  <c r="H19" i="2"/>
  <c r="F19" i="2"/>
  <c r="D19" i="2"/>
  <c r="D18" i="2"/>
  <c r="L18" i="2" s="1"/>
  <c r="E17" i="2"/>
  <c r="L17" i="2"/>
  <c r="G16" i="2"/>
  <c r="F16" i="2"/>
  <c r="E16" i="2"/>
  <c r="D16" i="2"/>
  <c r="L16" i="2" s="1"/>
  <c r="G15" i="2"/>
  <c r="F15" i="2"/>
  <c r="D15" i="2"/>
  <c r="H14" i="2"/>
  <c r="G14" i="2"/>
  <c r="D14" i="2"/>
  <c r="L13" i="2"/>
  <c r="H12" i="2"/>
  <c r="H31" i="2" s="1"/>
  <c r="G12" i="2"/>
  <c r="F12" i="2"/>
  <c r="E12" i="2"/>
  <c r="D12" i="2"/>
  <c r="D31" i="2" s="1"/>
  <c r="M53" i="2"/>
  <c r="M70" i="2" s="1"/>
  <c r="M47" i="2"/>
  <c r="M46" i="2"/>
  <c r="M48" i="2" s="1"/>
  <c r="K70" i="2"/>
  <c r="L57" i="2"/>
  <c r="K47" i="2"/>
  <c r="K46" i="2"/>
  <c r="K48" i="2" s="1"/>
  <c r="J63" i="2"/>
  <c r="J56" i="2"/>
  <c r="J53" i="2"/>
  <c r="J52" i="2"/>
  <c r="J50" i="2"/>
  <c r="J70" i="2" s="1"/>
  <c r="J46" i="2"/>
  <c r="I66" i="2"/>
  <c r="I64" i="2"/>
  <c r="I63" i="2"/>
  <c r="I62" i="2"/>
  <c r="I61" i="2"/>
  <c r="I60" i="2"/>
  <c r="I58" i="2"/>
  <c r="I54" i="2"/>
  <c r="I53" i="2"/>
  <c r="I52" i="2"/>
  <c r="I50" i="2"/>
  <c r="I47" i="2"/>
  <c r="I46" i="2"/>
  <c r="I45" i="2"/>
  <c r="I48" i="2" s="1"/>
  <c r="H63" i="2"/>
  <c r="H62" i="2"/>
  <c r="H60" i="2"/>
  <c r="H58" i="2"/>
  <c r="H54" i="2"/>
  <c r="H53" i="2"/>
  <c r="H52" i="2"/>
  <c r="H50" i="2"/>
  <c r="H70" i="2" s="1"/>
  <c r="H46" i="2"/>
  <c r="H48" i="2" s="1"/>
  <c r="G66" i="2"/>
  <c r="G61" i="2"/>
  <c r="G58" i="2"/>
  <c r="G56" i="2"/>
  <c r="G54" i="2"/>
  <c r="G53" i="2"/>
  <c r="G50" i="2"/>
  <c r="G70" i="2" s="1"/>
  <c r="G46" i="2"/>
  <c r="G48" i="2" s="1"/>
  <c r="F66" i="2"/>
  <c r="F61" i="2"/>
  <c r="F58" i="2"/>
  <c r="F57" i="2"/>
  <c r="F56" i="2"/>
  <c r="F54" i="2"/>
  <c r="F53" i="2"/>
  <c r="F50" i="2"/>
  <c r="F70" i="2" s="1"/>
  <c r="F46" i="2"/>
  <c r="F45" i="2"/>
  <c r="E66" i="2"/>
  <c r="E64" i="2"/>
  <c r="O64" i="2" s="1"/>
  <c r="E61" i="2"/>
  <c r="E60" i="2"/>
  <c r="E59" i="2"/>
  <c r="E58" i="2"/>
  <c r="E57" i="2"/>
  <c r="E56" i="2"/>
  <c r="E54" i="2"/>
  <c r="O54" i="2" s="1"/>
  <c r="E52" i="2"/>
  <c r="E50" i="2"/>
  <c r="E46" i="2"/>
  <c r="D66" i="2"/>
  <c r="O66" i="2" s="1"/>
  <c r="D63" i="2"/>
  <c r="O63" i="2" s="1"/>
  <c r="D61" i="2"/>
  <c r="D60" i="2"/>
  <c r="D58" i="2"/>
  <c r="D56" i="2"/>
  <c r="D70" i="2" s="1"/>
  <c r="D54" i="2"/>
  <c r="D52" i="2"/>
  <c r="D50" i="2"/>
  <c r="D46" i="2"/>
  <c r="D48" i="2" s="1"/>
  <c r="C47" i="2"/>
  <c r="C46" i="2"/>
  <c r="O46" i="2" s="1"/>
  <c r="L39" i="2" s="1"/>
  <c r="M39" i="2" s="1"/>
  <c r="C45" i="2"/>
  <c r="N69" i="2"/>
  <c r="O69" i="2" s="1"/>
  <c r="C67" i="2"/>
  <c r="O67" i="2" s="1"/>
  <c r="C62" i="2"/>
  <c r="O62" i="2" s="1"/>
  <c r="C61" i="2"/>
  <c r="O61" i="2" s="1"/>
  <c r="C60" i="2"/>
  <c r="O60" i="2" s="1"/>
  <c r="C59" i="2"/>
  <c r="C58" i="2"/>
  <c r="C57" i="2"/>
  <c r="C56" i="2"/>
  <c r="C55" i="2"/>
  <c r="O55" i="2" s="1"/>
  <c r="C54" i="2"/>
  <c r="C53" i="2"/>
  <c r="O53" i="2" s="1"/>
  <c r="C52" i="2"/>
  <c r="O52" i="2" s="1"/>
  <c r="C51" i="2"/>
  <c r="O51" i="2" s="1"/>
  <c r="H8" i="1"/>
  <c r="H7" i="1"/>
  <c r="H9" i="1" s="1"/>
  <c r="P20" i="2"/>
  <c r="P19" i="2"/>
  <c r="P17" i="2"/>
  <c r="P16" i="2"/>
  <c r="P15" i="2"/>
  <c r="P21" i="2" s="1"/>
  <c r="P26" i="2"/>
  <c r="L70" i="2"/>
  <c r="O56" i="2"/>
  <c r="I70" i="2"/>
  <c r="C70" i="2"/>
  <c r="N48" i="2"/>
  <c r="L48" i="2"/>
  <c r="J48" i="2"/>
  <c r="O47" i="2"/>
  <c r="L40" i="2" s="1"/>
  <c r="M40" i="2" s="1"/>
  <c r="F48" i="2"/>
  <c r="E48" i="2"/>
  <c r="O45" i="2"/>
  <c r="K41" i="2"/>
  <c r="P27" i="2"/>
  <c r="P14" i="2"/>
  <c r="L69" i="1"/>
  <c r="L70" i="1" s="1"/>
  <c r="M68" i="1"/>
  <c r="C67" i="1"/>
  <c r="M67" i="1" s="1"/>
  <c r="I66" i="1"/>
  <c r="E66" i="1"/>
  <c r="D66" i="1"/>
  <c r="I65" i="1"/>
  <c r="E65" i="1"/>
  <c r="M64" i="1"/>
  <c r="I63" i="1"/>
  <c r="C63" i="1"/>
  <c r="I62" i="1"/>
  <c r="G62" i="1"/>
  <c r="F62" i="1"/>
  <c r="E62" i="1"/>
  <c r="D62" i="1"/>
  <c r="C62" i="1"/>
  <c r="E61" i="1"/>
  <c r="M61" i="1" s="1"/>
  <c r="E60" i="1"/>
  <c r="C60" i="1"/>
  <c r="H59" i="1"/>
  <c r="G59" i="1"/>
  <c r="F59" i="1"/>
  <c r="E59" i="1"/>
  <c r="D59" i="1"/>
  <c r="C59" i="1"/>
  <c r="K58" i="1"/>
  <c r="K70" i="1" s="1"/>
  <c r="G58" i="1"/>
  <c r="E58" i="1"/>
  <c r="C58" i="1"/>
  <c r="J57" i="1"/>
  <c r="F57" i="1"/>
  <c r="E57" i="1"/>
  <c r="D57" i="1"/>
  <c r="C57" i="1"/>
  <c r="C56" i="1"/>
  <c r="M56" i="1" s="1"/>
  <c r="I55" i="1"/>
  <c r="G55" i="1"/>
  <c r="F55" i="1"/>
  <c r="E55" i="1"/>
  <c r="C55" i="1"/>
  <c r="J54" i="1"/>
  <c r="I54" i="1"/>
  <c r="C54" i="1"/>
  <c r="J53" i="1"/>
  <c r="I53" i="1"/>
  <c r="C53" i="1"/>
  <c r="M52" i="1"/>
  <c r="J51" i="1"/>
  <c r="I51" i="1"/>
  <c r="H51" i="1"/>
  <c r="H70" i="1" s="1"/>
  <c r="F51" i="1"/>
  <c r="E51" i="1"/>
  <c r="D51" i="1"/>
  <c r="C51" i="1"/>
  <c r="L49" i="1"/>
  <c r="K49" i="1"/>
  <c r="J49" i="1"/>
  <c r="I48" i="1"/>
  <c r="G48" i="1"/>
  <c r="F48" i="1"/>
  <c r="E48" i="1"/>
  <c r="C48" i="1"/>
  <c r="I47" i="1"/>
  <c r="H47" i="1"/>
  <c r="H49" i="1" s="1"/>
  <c r="G47" i="1"/>
  <c r="F47" i="1"/>
  <c r="F49" i="1" s="1"/>
  <c r="E47" i="1"/>
  <c r="E49" i="1" s="1"/>
  <c r="D47" i="1"/>
  <c r="C47" i="1"/>
  <c r="I46" i="1"/>
  <c r="D46" i="1"/>
  <c r="C46" i="1"/>
  <c r="K42" i="1"/>
  <c r="M27" i="1"/>
  <c r="M20" i="1"/>
  <c r="M19" i="1"/>
  <c r="M17" i="1"/>
  <c r="M14" i="1"/>
  <c r="E9" i="1"/>
  <c r="C8" i="1"/>
  <c r="G9" i="1"/>
  <c r="F9" i="1"/>
  <c r="D9" i="1"/>
  <c r="C7" i="1"/>
  <c r="C6" i="1"/>
  <c r="C70" i="1" l="1"/>
  <c r="O57" i="2"/>
  <c r="D70" i="1"/>
  <c r="G70" i="1"/>
  <c r="N70" i="2"/>
  <c r="O58" i="2"/>
  <c r="L14" i="2"/>
  <c r="E70" i="1"/>
  <c r="J70" i="1"/>
  <c r="O59" i="2"/>
  <c r="G31" i="2"/>
  <c r="E9" i="2"/>
  <c r="L10" i="2" s="1"/>
  <c r="AC22" i="2"/>
  <c r="AD22" i="2"/>
  <c r="G49" i="1"/>
  <c r="F31" i="2"/>
  <c r="D49" i="1"/>
  <c r="M47" i="1"/>
  <c r="L40" i="1" s="1"/>
  <c r="M40" i="1" s="1"/>
  <c r="F70" i="1"/>
  <c r="I70" i="1"/>
  <c r="M54" i="1"/>
  <c r="E70" i="2"/>
  <c r="L28" i="2"/>
  <c r="L12" i="2"/>
  <c r="L31" i="2" s="1"/>
  <c r="L15" i="2"/>
  <c r="L19" i="2"/>
  <c r="L6" i="2"/>
  <c r="L9" i="2" s="1"/>
  <c r="C9" i="1"/>
  <c r="M60" i="1"/>
  <c r="M58" i="1"/>
  <c r="M65" i="1"/>
  <c r="M66" i="1"/>
  <c r="M46" i="1"/>
  <c r="L39" i="1" s="1"/>
  <c r="M21" i="1"/>
  <c r="M59" i="1"/>
  <c r="I49" i="1"/>
  <c r="M48" i="1"/>
  <c r="L41" i="1" s="1"/>
  <c r="M41" i="1" s="1"/>
  <c r="M53" i="1"/>
  <c r="M55" i="1"/>
  <c r="M57" i="1"/>
  <c r="M62" i="1"/>
  <c r="M63" i="1"/>
  <c r="E31" i="2"/>
  <c r="L32" i="2" s="1"/>
  <c r="L38" i="2"/>
  <c r="O48" i="2"/>
  <c r="C48" i="2"/>
  <c r="O49" i="2" s="1"/>
  <c r="O50" i="2"/>
  <c r="O70" i="2" s="1"/>
  <c r="M49" i="1"/>
  <c r="C49" i="1"/>
  <c r="M69" i="1"/>
  <c r="M51" i="1"/>
  <c r="M71" i="1" l="1"/>
  <c r="M50" i="1"/>
  <c r="O71" i="2"/>
  <c r="L42" i="2"/>
  <c r="M42" i="2" s="1"/>
  <c r="M70" i="1"/>
  <c r="L43" i="1" s="1"/>
  <c r="M43" i="1" s="1"/>
  <c r="L41" i="2"/>
  <c r="M41" i="2" s="1"/>
  <c r="M38" i="2"/>
  <c r="L42" i="1"/>
  <c r="M42" i="1" s="1"/>
  <c r="M39" i="1"/>
  <c r="I6" i="1" l="1"/>
  <c r="I7" i="1" s="1"/>
  <c r="I8" i="1" s="1"/>
  <c r="I10" i="1" s="1"/>
  <c r="I9" i="1" l="1"/>
</calcChain>
</file>

<file path=xl/sharedStrings.xml><?xml version="1.0" encoding="utf-8"?>
<sst xmlns="http://schemas.openxmlformats.org/spreadsheetml/2006/main" count="362" uniqueCount="98">
  <si>
    <t>Tallinna Teeninduskooli kulud oktoobris 2014.a.</t>
  </si>
  <si>
    <t>Väike koondtabel</t>
  </si>
  <si>
    <t>Tegevuskulud</t>
  </si>
  <si>
    <t>6.02.02.20.  Riigieelarve (RE)</t>
  </si>
  <si>
    <t xml:space="preserve">Teko osakondade kulud </t>
  </si>
  <si>
    <t>TK020004</t>
  </si>
  <si>
    <t>Oktoober 2014.a.</t>
  </si>
  <si>
    <t>Personali- kulud</t>
  </si>
  <si>
    <t>Kuluartikkel</t>
  </si>
  <si>
    <t>52001 Majaka üld</t>
  </si>
  <si>
    <t>52003          Õppe- restoranid</t>
  </si>
  <si>
    <t>52007     Täiend- koolitus</t>
  </si>
  <si>
    <t>52008                  Õppe- osakond</t>
  </si>
  <si>
    <t>52009         Arendus- osakond</t>
  </si>
  <si>
    <t>521000 Projektide reserv</t>
  </si>
  <si>
    <t>Kokku</t>
  </si>
  <si>
    <t>Erisoodustused</t>
  </si>
  <si>
    <t>50 0</t>
  </si>
  <si>
    <t>Töötasu</t>
  </si>
  <si>
    <t>50 6</t>
  </si>
  <si>
    <t>Töötasu maksud</t>
  </si>
  <si>
    <t>Majandamiskulud</t>
  </si>
  <si>
    <t>Admin.kulud</t>
  </si>
  <si>
    <t>6.02.02.20.</t>
  </si>
  <si>
    <t>TK020002</t>
  </si>
  <si>
    <t>Uuringute kulud</t>
  </si>
  <si>
    <t>kulu liik</t>
  </si>
  <si>
    <t>osakond</t>
  </si>
  <si>
    <t>€</t>
  </si>
  <si>
    <t>Lähetused</t>
  </si>
  <si>
    <t xml:space="preserve">     Toetused</t>
  </si>
  <si>
    <t xml:space="preserve">  (Õppetoetused)</t>
  </si>
  <si>
    <t>Koolitused</t>
  </si>
  <si>
    <t>41 01   põhitoetus</t>
  </si>
  <si>
    <t>Hoonete kulud</t>
  </si>
  <si>
    <t>41 01    täiendav toetus</t>
  </si>
  <si>
    <t>Rajatiste kulud</t>
  </si>
  <si>
    <t>41 04   sõidusoodustused</t>
  </si>
  <si>
    <t>Sõidukite kulud</t>
  </si>
  <si>
    <t>41 05   toitlustustetused</t>
  </si>
  <si>
    <t>IT-kulud</t>
  </si>
  <si>
    <t>41 07   stipendiumid</t>
  </si>
  <si>
    <t>Inventari soetus</t>
  </si>
  <si>
    <t>Inventari hooldus</t>
  </si>
  <si>
    <t>Toiduained</t>
  </si>
  <si>
    <t>Med. ja hügieenik.</t>
  </si>
  <si>
    <t xml:space="preserve">Kutseeksamitasud </t>
  </si>
  <si>
    <t>Õppevahendid</t>
  </si>
  <si>
    <t>Ürituste kulud</t>
  </si>
  <si>
    <t>Eri-ja vormiriietus</t>
  </si>
  <si>
    <t>55     majandamiskulud</t>
  </si>
  <si>
    <t>Muu erivarustus</t>
  </si>
  <si>
    <t>Muud kulud</t>
  </si>
  <si>
    <t>Liikmemaksud</t>
  </si>
  <si>
    <t>Loodusressursid jm</t>
  </si>
  <si>
    <t xml:space="preserve">Seletus : </t>
  </si>
  <si>
    <t>Riigieelarveliste vahendite nappuse tõttu teostasime oktoobris majandamiskulusid riigieelarvest minimaalselt.</t>
  </si>
  <si>
    <t>"-" märk Õppeosakonna art 5524 juures tähendab kulude taastamist ehk algselt eelarvest tasutud kutseeksami tasude tagasikanne.</t>
  </si>
  <si>
    <r>
      <t>Puhastusteenindaja -  juhendaja tase 4  summas 1 605,00 € ja Kutseeksamitasu kokk I (EKR tase 4) summas 5 365,00 €.</t>
    </r>
    <r>
      <rPr>
        <b/>
        <sz val="12"/>
        <rFont val="Times New Roman"/>
        <family val="1"/>
        <charset val="186"/>
      </rPr>
      <t xml:space="preserve"> Kokku tagasi 6 970,00 €.</t>
    </r>
  </si>
  <si>
    <t>6.02.02.40.01.</t>
  </si>
  <si>
    <t>Väike tabel</t>
  </si>
  <si>
    <t>Kontroll :</t>
  </si>
  <si>
    <t>Toetused</t>
  </si>
  <si>
    <t>OV</t>
  </si>
  <si>
    <r>
      <t xml:space="preserve">RK 40 </t>
    </r>
    <r>
      <rPr>
        <b/>
        <sz val="10"/>
        <rFont val="Calibri"/>
        <family val="2"/>
        <charset val="186"/>
      </rPr>
      <t>∑</t>
    </r>
  </si>
  <si>
    <t>(toetused)</t>
  </si>
  <si>
    <t>Teko</t>
  </si>
  <si>
    <t xml:space="preserve">Toetused on siin näidatud kontrolliks, kuna riigikassas (RK) </t>
  </si>
  <si>
    <t xml:space="preserve">    on Toetused (40.01) ja Omavahendid (40.02) arvestatud kokku 6.02.02.40 kuluobjekti alla.</t>
  </si>
  <si>
    <t xml:space="preserve">     </t>
  </si>
  <si>
    <t>6.02.02.40.02. Majandustegevusest laekuva tulu arvelt (omavahendid OV)</t>
  </si>
  <si>
    <t>52002         Õppe-   catering</t>
  </si>
  <si>
    <t>52005 Õpilaskodu</t>
  </si>
  <si>
    <t>52006 Õppehostel</t>
  </si>
  <si>
    <t>52007 Täiend- koolitus</t>
  </si>
  <si>
    <t>52139 Kutse- haridus</t>
  </si>
  <si>
    <t>52             Käibemaks</t>
  </si>
  <si>
    <t>KM</t>
  </si>
  <si>
    <t>Käibemaks</t>
  </si>
  <si>
    <t>Kuluartiklite seas on kulud ka art 5512 - Rajatiste hooldus, siia on raamatupidamine arvestanud Lavateir AS (Toru Abi) 2 arvet - materjal, hooldustasud.</t>
  </si>
  <si>
    <t xml:space="preserve">                  Pmen ja RK</t>
  </si>
  <si>
    <t>Tallinna Teeninduskooli 10 kuu kulud 2014.a.</t>
  </si>
  <si>
    <t>10 kuud 2014.a.</t>
  </si>
  <si>
    <t>52107      Be CuLT OPEN</t>
  </si>
  <si>
    <t>52143  Riigikaitse 2014-213/1403</t>
  </si>
  <si>
    <t>52117 Projektid täiend- kooltuses</t>
  </si>
  <si>
    <t>52139     Kutse- haridus</t>
  </si>
  <si>
    <t>52142           MISA "Kutse- õppurite täiendav keeleõpe" SFTL 13107</t>
  </si>
  <si>
    <t>10 kuud</t>
  </si>
  <si>
    <t>RK 40 ∑</t>
  </si>
  <si>
    <t>52 Teko</t>
  </si>
  <si>
    <t>Eelarve</t>
  </si>
  <si>
    <t xml:space="preserve">Täitmine </t>
  </si>
  <si>
    <t>Täitmine %</t>
  </si>
  <si>
    <t>Jääk</t>
  </si>
  <si>
    <t xml:space="preserve">Eelarve </t>
  </si>
  <si>
    <t>41 01   õppetoetused kokku</t>
  </si>
  <si>
    <t>41 05   toitlustustoetused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</si>
</sst>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Arial"/>
      <family val="2"/>
      <charset val="186"/>
    </font>
    <font>
      <b/>
      <u/>
      <sz val="10"/>
      <color indexed="8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Calibri"/>
      <family val="2"/>
      <charset val="186"/>
    </font>
    <font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" xfId="0" applyNumberFormat="1" applyFont="1" applyBorder="1" applyAlignment="1">
      <alignment wrapText="1"/>
    </xf>
    <xf numFmtId="0" fontId="8" fillId="0" borderId="3" xfId="0" applyFont="1" applyBorder="1"/>
    <xf numFmtId="0" fontId="9" fillId="0" borderId="0" xfId="0" applyFont="1"/>
    <xf numFmtId="0" fontId="6" fillId="0" borderId="4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4" fontId="9" fillId="0" borderId="6" xfId="0" applyNumberFormat="1" applyFont="1" applyBorder="1"/>
    <xf numFmtId="0" fontId="4" fillId="0" borderId="4" xfId="0" applyFont="1" applyBorder="1"/>
    <xf numFmtId="0" fontId="10" fillId="0" borderId="6" xfId="0" applyFont="1" applyBorder="1"/>
    <xf numFmtId="4" fontId="4" fillId="0" borderId="6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0" fontId="6" fillId="0" borderId="5" xfId="0" applyFont="1" applyBorder="1" applyAlignment="1">
      <alignment horizontal="right"/>
    </xf>
    <xf numFmtId="4" fontId="4" fillId="0" borderId="5" xfId="0" applyNumberFormat="1" applyFont="1" applyBorder="1"/>
    <xf numFmtId="4" fontId="4" fillId="0" borderId="0" xfId="0" applyNumberFormat="1" applyFont="1"/>
    <xf numFmtId="3" fontId="6" fillId="0" borderId="7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left"/>
    </xf>
    <xf numFmtId="0" fontId="10" fillId="0" borderId="8" xfId="0" applyFont="1" applyBorder="1"/>
    <xf numFmtId="4" fontId="4" fillId="0" borderId="8" xfId="0" applyNumberFormat="1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6" fillId="0" borderId="1" xfId="0" applyNumberFormat="1" applyFont="1" applyBorder="1"/>
    <xf numFmtId="4" fontId="6" fillId="0" borderId="6" xfId="0" applyNumberFormat="1" applyFont="1" applyBorder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6" fillId="0" borderId="0" xfId="0" applyNumberFormat="1" applyFont="1" applyBorder="1"/>
    <xf numFmtId="0" fontId="10" fillId="0" borderId="0" xfId="0" applyFont="1" applyBorder="1"/>
    <xf numFmtId="0" fontId="4" fillId="0" borderId="0" xfId="0" applyFont="1" applyBorder="1"/>
    <xf numFmtId="4" fontId="11" fillId="0" borderId="0" xfId="0" applyNumberFormat="1" applyFont="1" applyBorder="1"/>
    <xf numFmtId="4" fontId="9" fillId="0" borderId="9" xfId="0" applyNumberFormat="1" applyFont="1" applyBorder="1"/>
    <xf numFmtId="0" fontId="0" fillId="0" borderId="9" xfId="0" applyBorder="1"/>
    <xf numFmtId="4" fontId="6" fillId="0" borderId="9" xfId="0" applyNumberFormat="1" applyFont="1" applyBorder="1"/>
    <xf numFmtId="0" fontId="10" fillId="0" borderId="9" xfId="0" applyFont="1" applyBorder="1"/>
    <xf numFmtId="0" fontId="4" fillId="0" borderId="9" xfId="0" applyFont="1" applyBorder="1"/>
    <xf numFmtId="0" fontId="6" fillId="0" borderId="3" xfId="0" applyFont="1" applyBorder="1"/>
    <xf numFmtId="0" fontId="10" fillId="0" borderId="10" xfId="0" applyFont="1" applyBorder="1"/>
    <xf numFmtId="4" fontId="4" fillId="0" borderId="10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0" xfId="0" applyFont="1" applyBorder="1"/>
    <xf numFmtId="0" fontId="6" fillId="0" borderId="4" xfId="0" applyFont="1" applyBorder="1"/>
    <xf numFmtId="0" fontId="0" fillId="0" borderId="11" xfId="0" applyBorder="1"/>
    <xf numFmtId="0" fontId="7" fillId="0" borderId="11" xfId="0" applyFont="1" applyBorder="1"/>
    <xf numFmtId="0" fontId="0" fillId="0" borderId="12" xfId="0" applyBorder="1"/>
    <xf numFmtId="0" fontId="6" fillId="0" borderId="6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10" xfId="0" applyFont="1" applyBorder="1"/>
    <xf numFmtId="0" fontId="8" fillId="0" borderId="11" xfId="0" applyFont="1" applyBorder="1"/>
    <xf numFmtId="4" fontId="8" fillId="0" borderId="13" xfId="0" applyNumberFormat="1" applyFont="1" applyBorder="1"/>
    <xf numFmtId="0" fontId="8" fillId="0" borderId="14" xfId="0" applyFont="1" applyBorder="1"/>
    <xf numFmtId="0" fontId="6" fillId="0" borderId="15" xfId="0" applyFont="1" applyBorder="1"/>
    <xf numFmtId="3" fontId="6" fillId="0" borderId="16" xfId="0" applyNumberFormat="1" applyFont="1" applyBorder="1"/>
    <xf numFmtId="4" fontId="6" fillId="0" borderId="17" xfId="0" applyNumberFormat="1" applyFont="1" applyBorder="1"/>
    <xf numFmtId="0" fontId="8" fillId="0" borderId="18" xfId="0" applyFont="1" applyBorder="1"/>
    <xf numFmtId="0" fontId="6" fillId="0" borderId="19" xfId="0" applyFont="1" applyBorder="1"/>
    <xf numFmtId="3" fontId="6" fillId="0" borderId="20" xfId="0" applyNumberFormat="1" applyFont="1" applyBorder="1"/>
    <xf numFmtId="4" fontId="6" fillId="0" borderId="21" xfId="0" applyNumberFormat="1" applyFont="1" applyBorder="1"/>
    <xf numFmtId="0" fontId="12" fillId="0" borderId="22" xfId="0" applyFont="1" applyBorder="1"/>
    <xf numFmtId="0" fontId="11" fillId="0" borderId="23" xfId="0" applyFont="1" applyBorder="1"/>
    <xf numFmtId="3" fontId="11" fillId="0" borderId="24" xfId="0" applyNumberFormat="1" applyFont="1" applyBorder="1"/>
    <xf numFmtId="4" fontId="11" fillId="0" borderId="25" xfId="0" applyNumberFormat="1" applyFont="1" applyBorder="1"/>
    <xf numFmtId="0" fontId="12" fillId="0" borderId="14" xfId="0" applyFont="1" applyBorder="1"/>
    <xf numFmtId="0" fontId="11" fillId="0" borderId="15" xfId="0" applyFont="1" applyBorder="1"/>
    <xf numFmtId="3" fontId="11" fillId="0" borderId="16" xfId="0" applyNumberFormat="1" applyFont="1" applyBorder="1"/>
    <xf numFmtId="4" fontId="11" fillId="0" borderId="17" xfId="0" applyNumberFormat="1" applyFont="1" applyBorder="1"/>
    <xf numFmtId="0" fontId="12" fillId="0" borderId="18" xfId="0" applyFont="1" applyBorder="1"/>
    <xf numFmtId="0" fontId="11" fillId="0" borderId="19" xfId="0" applyFont="1" applyBorder="1"/>
    <xf numFmtId="3" fontId="11" fillId="0" borderId="20" xfId="0" applyNumberFormat="1" applyFont="1" applyBorder="1"/>
    <xf numFmtId="4" fontId="11" fillId="0" borderId="21" xfId="0" applyNumberFormat="1" applyFont="1" applyBorder="1"/>
    <xf numFmtId="0" fontId="11" fillId="0" borderId="0" xfId="0" applyFont="1" applyBorder="1"/>
    <xf numFmtId="4" fontId="11" fillId="0" borderId="8" xfId="0" applyNumberFormat="1" applyFont="1" applyBorder="1"/>
    <xf numFmtId="0" fontId="4" fillId="0" borderId="11" xfId="0" applyFont="1" applyBorder="1"/>
    <xf numFmtId="0" fontId="11" fillId="0" borderId="26" xfId="0" applyFont="1" applyBorder="1"/>
    <xf numFmtId="0" fontId="8" fillId="0" borderId="2" xfId="0" applyFont="1" applyBorder="1"/>
    <xf numFmtId="0" fontId="11" fillId="0" borderId="27" xfId="0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6" fillId="0" borderId="8" xfId="0" applyFont="1" applyBorder="1"/>
    <xf numFmtId="0" fontId="4" fillId="0" borderId="8" xfId="0" applyFont="1" applyBorder="1"/>
    <xf numFmtId="0" fontId="4" fillId="0" borderId="7" xfId="0" applyFont="1" applyBorder="1"/>
    <xf numFmtId="4" fontId="6" fillId="0" borderId="13" xfId="0" applyNumberFormat="1" applyFont="1" applyBorder="1"/>
    <xf numFmtId="0" fontId="13" fillId="0" borderId="0" xfId="0" applyFont="1"/>
    <xf numFmtId="0" fontId="8" fillId="0" borderId="4" xfId="0" applyFont="1" applyBorder="1"/>
    <xf numFmtId="0" fontId="14" fillId="0" borderId="11" xfId="0" applyFont="1" applyBorder="1"/>
    <xf numFmtId="0" fontId="12" fillId="0" borderId="11" xfId="0" applyFont="1" applyBorder="1"/>
    <xf numFmtId="0" fontId="15" fillId="0" borderId="11" xfId="0" applyFont="1" applyBorder="1"/>
    <xf numFmtId="0" fontId="16" fillId="0" borderId="11" xfId="0" applyFont="1" applyBorder="1"/>
    <xf numFmtId="0" fontId="10" fillId="0" borderId="11" xfId="0" applyFont="1" applyBorder="1"/>
    <xf numFmtId="0" fontId="17" fillId="0" borderId="11" xfId="0" applyFont="1" applyBorder="1"/>
    <xf numFmtId="0" fontId="8" fillId="0" borderId="12" xfId="0" applyFont="1" applyBorder="1"/>
    <xf numFmtId="0" fontId="8" fillId="0" borderId="5" xfId="0" applyFont="1" applyBorder="1"/>
    <xf numFmtId="0" fontId="8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4" fontId="8" fillId="0" borderId="1" xfId="0" applyNumberFormat="1" applyFont="1" applyBorder="1"/>
    <xf numFmtId="0" fontId="14" fillId="0" borderId="5" xfId="0" applyFont="1" applyBorder="1"/>
    <xf numFmtId="0" fontId="10" fillId="0" borderId="28" xfId="0" applyFont="1" applyBorder="1" applyAlignment="1">
      <alignment horizontal="left"/>
    </xf>
    <xf numFmtId="0" fontId="8" fillId="0" borderId="28" xfId="0" applyFont="1" applyBorder="1" applyAlignment="1">
      <alignment horizontal="right"/>
    </xf>
    <xf numFmtId="0" fontId="19" fillId="0" borderId="0" xfId="0" applyFont="1" applyBorder="1"/>
    <xf numFmtId="0" fontId="20" fillId="0" borderId="0" xfId="0" applyFont="1" applyBorder="1"/>
    <xf numFmtId="4" fontId="19" fillId="0" borderId="0" xfId="0" applyNumberFormat="1" applyFont="1" applyBorder="1"/>
    <xf numFmtId="4" fontId="10" fillId="0" borderId="3" xfId="0" applyNumberFormat="1" applyFont="1" applyBorder="1"/>
    <xf numFmtId="0" fontId="10" fillId="0" borderId="29" xfId="0" applyFont="1" applyBorder="1" applyAlignment="1">
      <alignment horizontal="left"/>
    </xf>
    <xf numFmtId="0" fontId="8" fillId="0" borderId="29" xfId="0" applyFont="1" applyBorder="1" applyAlignment="1">
      <alignment horizontal="right"/>
    </xf>
    <xf numFmtId="3" fontId="10" fillId="0" borderId="30" xfId="0" applyNumberFormat="1" applyFont="1" applyBorder="1" applyAlignment="1">
      <alignment horizontal="left"/>
    </xf>
    <xf numFmtId="3" fontId="8" fillId="0" borderId="30" xfId="0" applyNumberFormat="1" applyFont="1" applyBorder="1" applyAlignment="1">
      <alignment horizontal="right"/>
    </xf>
    <xf numFmtId="0" fontId="14" fillId="0" borderId="20" xfId="0" applyFont="1" applyBorder="1"/>
    <xf numFmtId="4" fontId="10" fillId="0" borderId="20" xfId="0" applyNumberFormat="1" applyFont="1" applyBorder="1"/>
    <xf numFmtId="0" fontId="10" fillId="0" borderId="5" xfId="0" applyFont="1" applyBorder="1"/>
    <xf numFmtId="3" fontId="8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4" fontId="8" fillId="0" borderId="31" xfId="0" applyNumberFormat="1" applyFont="1" applyBorder="1"/>
    <xf numFmtId="0" fontId="10" fillId="0" borderId="7" xfId="0" applyFont="1" applyBorder="1"/>
    <xf numFmtId="0" fontId="8" fillId="0" borderId="9" xfId="0" applyFont="1" applyBorder="1"/>
    <xf numFmtId="4" fontId="10" fillId="0" borderId="9" xfId="0" applyNumberFormat="1" applyFont="1" applyBorder="1"/>
    <xf numFmtId="4" fontId="8" fillId="0" borderId="32" xfId="0" applyNumberFormat="1" applyFont="1" applyBorder="1"/>
    <xf numFmtId="4" fontId="8" fillId="0" borderId="33" xfId="0" applyNumberFormat="1" applyFont="1" applyBorder="1"/>
    <xf numFmtId="0" fontId="7" fillId="0" borderId="0" xfId="0" applyFont="1" applyBorder="1"/>
    <xf numFmtId="0" fontId="6" fillId="0" borderId="3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/>
    <xf numFmtId="0" fontId="10" fillId="0" borderId="3" xfId="0" applyFont="1" applyBorder="1" applyAlignment="1">
      <alignment horizontal="left"/>
    </xf>
    <xf numFmtId="4" fontId="9" fillId="0" borderId="10" xfId="0" applyNumberFormat="1" applyFont="1" applyBorder="1"/>
    <xf numFmtId="4" fontId="9" fillId="0" borderId="3" xfId="0" applyNumberFormat="1" applyFont="1" applyBorder="1"/>
    <xf numFmtId="4" fontId="6" fillId="0" borderId="3" xfId="0" applyNumberFormat="1" applyFont="1" applyBorder="1"/>
    <xf numFmtId="0" fontId="10" fillId="0" borderId="6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4" fontId="11" fillId="0" borderId="2" xfId="0" applyNumberFormat="1" applyFont="1" applyBorder="1"/>
    <xf numFmtId="4" fontId="11" fillId="0" borderId="13" xfId="0" applyNumberFormat="1" applyFont="1" applyBorder="1"/>
    <xf numFmtId="0" fontId="0" fillId="0" borderId="0" xfId="0" applyBorder="1"/>
    <xf numFmtId="4" fontId="11" fillId="0" borderId="30" xfId="0" applyNumberFormat="1" applyFont="1" applyBorder="1"/>
    <xf numFmtId="4" fontId="9" fillId="0" borderId="0" xfId="0" applyNumberFormat="1" applyFont="1"/>
    <xf numFmtId="0" fontId="6" fillId="0" borderId="7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4" fontId="9" fillId="0" borderId="26" xfId="0" applyNumberFormat="1" applyFont="1" applyBorder="1"/>
    <xf numFmtId="4" fontId="9" fillId="0" borderId="8" xfId="0" applyNumberFormat="1" applyFont="1" applyBorder="1"/>
    <xf numFmtId="4" fontId="6" fillId="0" borderId="8" xfId="0" applyNumberFormat="1" applyFont="1" applyBorder="1"/>
    <xf numFmtId="0" fontId="21" fillId="0" borderId="0" xfId="0" applyFont="1"/>
    <xf numFmtId="0" fontId="10" fillId="0" borderId="0" xfId="0" applyFont="1"/>
    <xf numFmtId="0" fontId="14" fillId="0" borderId="0" xfId="0" applyFont="1"/>
    <xf numFmtId="0" fontId="4" fillId="0" borderId="12" xfId="0" applyFont="1" applyBorder="1"/>
    <xf numFmtId="2" fontId="4" fillId="0" borderId="3" xfId="0" applyNumberFormat="1" applyFont="1" applyBorder="1"/>
    <xf numFmtId="4" fontId="4" fillId="0" borderId="7" xfId="0" applyNumberFormat="1" applyFont="1" applyBorder="1"/>
    <xf numFmtId="0" fontId="6" fillId="0" borderId="11" xfId="0" applyFont="1" applyBorder="1"/>
    <xf numFmtId="0" fontId="8" fillId="0" borderId="16" xfId="0" applyFont="1" applyBorder="1"/>
    <xf numFmtId="0" fontId="8" fillId="0" borderId="20" xfId="0" applyFont="1" applyBorder="1"/>
    <xf numFmtId="0" fontId="12" fillId="0" borderId="24" xfId="0" applyFont="1" applyBorder="1"/>
    <xf numFmtId="0" fontId="12" fillId="0" borderId="16" xfId="0" applyFont="1" applyBorder="1"/>
    <xf numFmtId="0" fontId="12" fillId="0" borderId="20" xfId="0" applyFont="1" applyBorder="1"/>
    <xf numFmtId="0" fontId="8" fillId="0" borderId="34" xfId="0" applyFont="1" applyBorder="1"/>
    <xf numFmtId="4" fontId="4" fillId="0" borderId="0" xfId="0" applyNumberFormat="1" applyFont="1" applyBorder="1"/>
    <xf numFmtId="0" fontId="0" fillId="0" borderId="6" xfId="0" applyBorder="1"/>
    <xf numFmtId="0" fontId="0" fillId="0" borderId="8" xfId="0" applyBorder="1"/>
    <xf numFmtId="0" fontId="22" fillId="0" borderId="1" xfId="0" applyFont="1" applyBorder="1"/>
    <xf numFmtId="0" fontId="24" fillId="0" borderId="1" xfId="0" applyFont="1" applyBorder="1"/>
    <xf numFmtId="0" fontId="24" fillId="0" borderId="2" xfId="0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0" xfId="0" applyFont="1"/>
    <xf numFmtId="0" fontId="25" fillId="0" borderId="3" xfId="0" applyFont="1" applyBorder="1"/>
    <xf numFmtId="0" fontId="25" fillId="0" borderId="6" xfId="0" applyFont="1" applyBorder="1"/>
    <xf numFmtId="0" fontId="25" fillId="0" borderId="8" xfId="0" applyFont="1" applyBorder="1"/>
    <xf numFmtId="0" fontId="26" fillId="0" borderId="3" xfId="0" applyFont="1" applyBorder="1"/>
    <xf numFmtId="0" fontId="26" fillId="0" borderId="6" xfId="0" applyFont="1" applyBorder="1"/>
    <xf numFmtId="4" fontId="26" fillId="0" borderId="3" xfId="0" applyNumberFormat="1" applyFont="1" applyBorder="1"/>
    <xf numFmtId="4" fontId="26" fillId="0" borderId="6" xfId="0" applyNumberFormat="1" applyFont="1" applyBorder="1"/>
    <xf numFmtId="0" fontId="26" fillId="0" borderId="8" xfId="0" applyFont="1" applyBorder="1"/>
    <xf numFmtId="4" fontId="26" fillId="0" borderId="8" xfId="0" applyNumberFormat="1" applyFont="1" applyBorder="1"/>
    <xf numFmtId="4" fontId="6" fillId="0" borderId="30" xfId="0" applyNumberFormat="1" applyFont="1" applyBorder="1"/>
    <xf numFmtId="0" fontId="8" fillId="0" borderId="1" xfId="0" applyNumberFormat="1" applyFont="1" applyBorder="1" applyAlignment="1">
      <alignment wrapText="1"/>
    </xf>
    <xf numFmtId="0" fontId="8" fillId="0" borderId="3" xfId="0" applyNumberFormat="1" applyFont="1" applyBorder="1" applyAlignment="1">
      <alignment wrapText="1"/>
    </xf>
    <xf numFmtId="4" fontId="12" fillId="0" borderId="0" xfId="0" applyNumberFormat="1" applyFont="1" applyBorder="1"/>
    <xf numFmtId="0" fontId="24" fillId="0" borderId="1" xfId="0" applyNumberFormat="1" applyFont="1" applyBorder="1" applyAlignment="1">
      <alignment wrapText="1"/>
    </xf>
    <xf numFmtId="2" fontId="4" fillId="0" borderId="6" xfId="0" applyNumberFormat="1" applyFont="1" applyBorder="1"/>
    <xf numFmtId="4" fontId="19" fillId="0" borderId="3" xfId="0" applyNumberFormat="1" applyFont="1" applyBorder="1"/>
    <xf numFmtId="4" fontId="17" fillId="0" borderId="13" xfId="0" applyNumberFormat="1" applyFont="1" applyBorder="1"/>
    <xf numFmtId="4" fontId="6" fillId="0" borderId="31" xfId="0" applyNumberFormat="1" applyFont="1" applyBorder="1"/>
    <xf numFmtId="0" fontId="25" fillId="0" borderId="11" xfId="0" applyFont="1" applyBorder="1"/>
    <xf numFmtId="0" fontId="25" fillId="0" borderId="12" xfId="0" applyFont="1" applyBorder="1"/>
    <xf numFmtId="0" fontId="2" fillId="0" borderId="0" xfId="0" applyFont="1"/>
    <xf numFmtId="4" fontId="30" fillId="0" borderId="6" xfId="0" applyNumberFormat="1" applyFont="1" applyBorder="1"/>
    <xf numFmtId="4" fontId="26" fillId="0" borderId="1" xfId="0" applyNumberFormat="1" applyFont="1" applyBorder="1"/>
    <xf numFmtId="4" fontId="23" fillId="0" borderId="1" xfId="0" applyNumberFormat="1" applyFont="1" applyBorder="1"/>
    <xf numFmtId="0" fontId="26" fillId="0" borderId="0" xfId="0" applyFont="1"/>
    <xf numFmtId="0" fontId="23" fillId="0" borderId="1" xfId="0" applyFont="1" applyBorder="1"/>
    <xf numFmtId="4" fontId="23" fillId="0" borderId="6" xfId="0" applyNumberFormat="1" applyFont="1" applyBorder="1"/>
    <xf numFmtId="4" fontId="23" fillId="0" borderId="3" xfId="0" applyNumberFormat="1" applyFont="1" applyBorder="1"/>
    <xf numFmtId="4" fontId="23" fillId="0" borderId="8" xfId="0" applyNumberFormat="1" applyFont="1" applyBorder="1"/>
    <xf numFmtId="4" fontId="6" fillId="0" borderId="1" xfId="0" applyNumberFormat="1" applyFont="1" applyBorder="1" applyAlignment="1">
      <alignment horizontal="right"/>
    </xf>
    <xf numFmtId="4" fontId="26" fillId="0" borderId="0" xfId="0" applyNumberFormat="1" applyFont="1" applyBorder="1"/>
    <xf numFmtId="4" fontId="23" fillId="0" borderId="5" xfId="0" applyNumberFormat="1" applyFont="1" applyBorder="1"/>
    <xf numFmtId="0" fontId="23" fillId="0" borderId="6" xfId="0" applyFont="1" applyBorder="1"/>
    <xf numFmtId="4" fontId="23" fillId="0" borderId="0" xfId="0" applyNumberFormat="1" applyFont="1" applyBorder="1"/>
    <xf numFmtId="0" fontId="26" fillId="0" borderId="5" xfId="0" applyFont="1" applyBorder="1"/>
    <xf numFmtId="0" fontId="6" fillId="0" borderId="0" xfId="0" applyFont="1" applyBorder="1"/>
    <xf numFmtId="0" fontId="25" fillId="0" borderId="0" xfId="0" applyFont="1" applyBorder="1"/>
    <xf numFmtId="0" fontId="0" fillId="0" borderId="26" xfId="0" applyBorder="1"/>
    <xf numFmtId="0" fontId="8" fillId="0" borderId="15" xfId="0" applyFont="1" applyBorder="1"/>
    <xf numFmtId="0" fontId="8" fillId="0" borderId="35" xfId="0" applyFont="1" applyBorder="1"/>
    <xf numFmtId="0" fontId="6" fillId="0" borderId="5" xfId="0" applyFont="1" applyBorder="1"/>
    <xf numFmtId="0" fontId="25" fillId="0" borderId="10" xfId="0" applyFont="1" applyBorder="1"/>
    <xf numFmtId="0" fontId="8" fillId="0" borderId="6" xfId="0" applyFont="1" applyBorder="1"/>
    <xf numFmtId="0" fontId="5" fillId="0" borderId="0" xfId="0" applyFont="1" applyBorder="1"/>
    <xf numFmtId="0" fontId="6" fillId="0" borderId="35" xfId="0" applyFont="1" applyBorder="1"/>
    <xf numFmtId="0" fontId="6" fillId="0" borderId="18" xfId="0" applyFont="1" applyBorder="1"/>
    <xf numFmtId="0" fontId="11" fillId="0" borderId="22" xfId="0" applyFont="1" applyBorder="1"/>
    <xf numFmtId="0" fontId="11" fillId="0" borderId="14" xfId="0" applyFont="1" applyBorder="1"/>
    <xf numFmtId="0" fontId="11" fillId="0" borderId="18" xfId="0" applyFont="1" applyBorder="1"/>
    <xf numFmtId="0" fontId="23" fillId="0" borderId="0" xfId="0" applyFont="1" applyBorder="1"/>
    <xf numFmtId="0" fontId="6" fillId="0" borderId="20" xfId="0" applyFont="1" applyBorder="1"/>
    <xf numFmtId="4" fontId="6" fillId="0" borderId="29" xfId="0" applyNumberFormat="1" applyFont="1" applyBorder="1"/>
    <xf numFmtId="0" fontId="23" fillId="0" borderId="40" xfId="0" applyFont="1" applyBorder="1"/>
    <xf numFmtId="0" fontId="23" fillId="0" borderId="41" xfId="0" applyFont="1" applyBorder="1"/>
    <xf numFmtId="4" fontId="6" fillId="0" borderId="32" xfId="0" applyNumberFormat="1" applyFont="1" applyBorder="1"/>
    <xf numFmtId="4" fontId="13" fillId="0" borderId="13" xfId="0" applyNumberFormat="1" applyFont="1" applyBorder="1" applyAlignment="1">
      <alignment horizontal="right"/>
    </xf>
    <xf numFmtId="4" fontId="23" fillId="0" borderId="13" xfId="0" applyNumberFormat="1" applyFont="1" applyBorder="1"/>
    <xf numFmtId="4" fontId="11" fillId="0" borderId="28" xfId="0" applyNumberFormat="1" applyFont="1" applyBorder="1"/>
    <xf numFmtId="4" fontId="13" fillId="0" borderId="0" xfId="0" applyNumberFormat="1" applyFont="1" applyBorder="1" applyAlignment="1">
      <alignment horizontal="right"/>
    </xf>
    <xf numFmtId="0" fontId="6" fillId="0" borderId="22" xfId="0" applyFont="1" applyBorder="1"/>
    <xf numFmtId="0" fontId="11" fillId="0" borderId="24" xfId="0" applyFont="1" applyBorder="1"/>
    <xf numFmtId="4" fontId="23" fillId="0" borderId="36" xfId="0" applyNumberFormat="1" applyFont="1" applyBorder="1"/>
    <xf numFmtId="0" fontId="11" fillId="0" borderId="20" xfId="0" applyFont="1" applyBorder="1"/>
    <xf numFmtId="0" fontId="11" fillId="0" borderId="16" xfId="0" applyFont="1" applyBorder="1"/>
    <xf numFmtId="4" fontId="23" fillId="0" borderId="32" xfId="0" applyNumberFormat="1" applyFont="1" applyBorder="1"/>
    <xf numFmtId="4" fontId="25" fillId="0" borderId="29" xfId="0" applyNumberFormat="1" applyFont="1" applyBorder="1"/>
    <xf numFmtId="4" fontId="25" fillId="0" borderId="30" xfId="0" applyNumberFormat="1" applyFont="1" applyBorder="1"/>
    <xf numFmtId="4" fontId="13" fillId="0" borderId="22" xfId="0" applyNumberFormat="1" applyFont="1" applyBorder="1" applyAlignment="1">
      <alignment horizontal="right"/>
    </xf>
    <xf numFmtId="4" fontId="25" fillId="0" borderId="14" xfId="0" applyNumberFormat="1" applyFont="1" applyBorder="1"/>
    <xf numFmtId="4" fontId="25" fillId="0" borderId="18" xfId="0" applyNumberFormat="1" applyFont="1" applyBorder="1"/>
    <xf numFmtId="4" fontId="23" fillId="0" borderId="37" xfId="0" applyNumberFormat="1" applyFont="1" applyBorder="1"/>
    <xf numFmtId="4" fontId="23" fillId="0" borderId="39" xfId="0" applyNumberFormat="1" applyFont="1" applyBorder="1"/>
    <xf numFmtId="4" fontId="23" fillId="0" borderId="29" xfId="0" applyNumberFormat="1" applyFont="1" applyBorder="1"/>
    <xf numFmtId="4" fontId="23" fillId="0" borderId="30" xfId="0" applyNumberFormat="1" applyFont="1" applyBorder="1"/>
    <xf numFmtId="0" fontId="0" fillId="0" borderId="14" xfId="0" applyBorder="1"/>
    <xf numFmtId="0" fontId="0" fillId="0" borderId="16" xfId="0" applyBorder="1"/>
    <xf numFmtId="0" fontId="3" fillId="0" borderId="16" xfId="0" applyFont="1" applyBorder="1"/>
    <xf numFmtId="0" fontId="4" fillId="0" borderId="16" xfId="0" applyFont="1" applyBorder="1"/>
    <xf numFmtId="0" fontId="25" fillId="0" borderId="16" xfId="0" applyFont="1" applyBorder="1"/>
    <xf numFmtId="0" fontId="2" fillId="0" borderId="16" xfId="0" applyFont="1" applyBorder="1"/>
    <xf numFmtId="0" fontId="0" fillId="0" borderId="37" xfId="0" applyBorder="1"/>
    <xf numFmtId="0" fontId="0" fillId="0" borderId="35" xfId="0" applyBorder="1"/>
    <xf numFmtId="0" fontId="2" fillId="0" borderId="0" xfId="0" applyFont="1" applyBorder="1"/>
    <xf numFmtId="0" fontId="0" fillId="0" borderId="38" xfId="0" applyBorder="1"/>
    <xf numFmtId="0" fontId="6" fillId="0" borderId="42" xfId="0" applyNumberFormat="1" applyFont="1" applyBorder="1" applyAlignment="1">
      <alignment wrapText="1"/>
    </xf>
    <xf numFmtId="0" fontId="2" fillId="0" borderId="38" xfId="0" applyFont="1" applyBorder="1"/>
    <xf numFmtId="0" fontId="6" fillId="0" borderId="43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3" fontId="6" fillId="0" borderId="44" xfId="0" applyNumberFormat="1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4" fontId="28" fillId="0" borderId="0" xfId="0" applyNumberFormat="1" applyFont="1" applyBorder="1"/>
    <xf numFmtId="4" fontId="25" fillId="0" borderId="0" xfId="0" applyNumberFormat="1" applyFont="1" applyBorder="1"/>
    <xf numFmtId="4" fontId="12" fillId="0" borderId="35" xfId="0" applyNumberFormat="1" applyFont="1" applyBorder="1"/>
    <xf numFmtId="0" fontId="6" fillId="0" borderId="45" xfId="0" applyFont="1" applyBorder="1"/>
    <xf numFmtId="4" fontId="22" fillId="0" borderId="38" xfId="0" applyNumberFormat="1" applyFont="1" applyBorder="1"/>
    <xf numFmtId="0" fontId="6" fillId="0" borderId="46" xfId="0" applyFont="1" applyBorder="1"/>
    <xf numFmtId="4" fontId="28" fillId="0" borderId="38" xfId="0" applyNumberFormat="1" applyFont="1" applyBorder="1"/>
    <xf numFmtId="0" fontId="6" fillId="0" borderId="47" xfId="0" applyFont="1" applyBorder="1"/>
    <xf numFmtId="0" fontId="4" fillId="0" borderId="44" xfId="0" applyFont="1" applyBorder="1"/>
    <xf numFmtId="4" fontId="31" fillId="0" borderId="0" xfId="0" applyNumberFormat="1" applyFont="1" applyBorder="1"/>
    <xf numFmtId="4" fontId="0" fillId="0" borderId="0" xfId="0" applyNumberFormat="1" applyBorder="1"/>
    <xf numFmtId="4" fontId="1" fillId="0" borderId="0" xfId="0" applyNumberFormat="1" applyFont="1" applyBorder="1"/>
    <xf numFmtId="0" fontId="13" fillId="0" borderId="35" xfId="0" applyFont="1" applyBorder="1"/>
    <xf numFmtId="4" fontId="22" fillId="0" borderId="0" xfId="0" applyNumberFormat="1" applyFont="1" applyBorder="1"/>
    <xf numFmtId="4" fontId="25" fillId="0" borderId="38" xfId="0" applyNumberFormat="1" applyFont="1" applyBorder="1"/>
    <xf numFmtId="0" fontId="4" fillId="0" borderId="35" xfId="0" applyFont="1" applyBorder="1"/>
    <xf numFmtId="0" fontId="14" fillId="0" borderId="35" xfId="0" applyFont="1" applyBorder="1"/>
    <xf numFmtId="0" fontId="10" fillId="0" borderId="35" xfId="0" applyFont="1" applyBorder="1"/>
    <xf numFmtId="4" fontId="2" fillId="0" borderId="0" xfId="0" applyNumberFormat="1" applyFont="1" applyBorder="1"/>
    <xf numFmtId="4" fontId="0" fillId="0" borderId="38" xfId="0" applyNumberFormat="1" applyBorder="1"/>
    <xf numFmtId="0" fontId="10" fillId="0" borderId="18" xfId="0" applyFont="1" applyBorder="1"/>
    <xf numFmtId="0" fontId="10" fillId="0" borderId="20" xfId="0" applyFont="1" applyBorder="1"/>
    <xf numFmtId="4" fontId="27" fillId="0" borderId="20" xfId="0" applyNumberFormat="1" applyFont="1" applyBorder="1"/>
    <xf numFmtId="4" fontId="25" fillId="0" borderId="20" xfId="0" applyNumberFormat="1" applyFont="1" applyBorder="1"/>
    <xf numFmtId="4" fontId="2" fillId="0" borderId="20" xfId="0" applyNumberFormat="1" applyFont="1" applyBorder="1"/>
    <xf numFmtId="4" fontId="0" fillId="0" borderId="39" xfId="0" applyNumberFormat="1" applyBorder="1"/>
    <xf numFmtId="0" fontId="6" fillId="0" borderId="14" xfId="0" applyFont="1" applyBorder="1"/>
    <xf numFmtId="0" fontId="6" fillId="0" borderId="16" xfId="0" applyFont="1" applyBorder="1"/>
    <xf numFmtId="4" fontId="4" fillId="0" borderId="16" xfId="0" applyNumberFormat="1" applyFont="1" applyBorder="1"/>
    <xf numFmtId="0" fontId="7" fillId="0" borderId="16" xfId="0" applyFont="1" applyBorder="1"/>
    <xf numFmtId="4" fontId="25" fillId="0" borderId="16" xfId="0" applyNumberFormat="1" applyFont="1" applyBorder="1"/>
    <xf numFmtId="4" fontId="2" fillId="0" borderId="16" xfId="0" applyNumberFormat="1" applyFont="1" applyBorder="1"/>
    <xf numFmtId="4" fontId="0" fillId="0" borderId="37" xfId="0" applyNumberFormat="1" applyBorder="1"/>
    <xf numFmtId="4" fontId="29" fillId="0" borderId="0" xfId="0" applyNumberFormat="1" applyFont="1" applyBorder="1"/>
    <xf numFmtId="4" fontId="1" fillId="0" borderId="38" xfId="0" applyNumberFormat="1" applyFont="1" applyBorder="1"/>
    <xf numFmtId="3" fontId="6" fillId="0" borderId="35" xfId="0" applyNumberFormat="1" applyFont="1" applyBorder="1" applyAlignment="1">
      <alignment horizontal="right"/>
    </xf>
    <xf numFmtId="4" fontId="11" fillId="0" borderId="35" xfId="0" applyNumberFormat="1" applyFont="1" applyBorder="1"/>
    <xf numFmtId="4" fontId="9" fillId="0" borderId="0" xfId="0" applyNumberFormat="1" applyFont="1" applyBorder="1"/>
    <xf numFmtId="0" fontId="6" fillId="0" borderId="44" xfId="0" applyFont="1" applyBorder="1" applyAlignment="1">
      <alignment horizontal="right"/>
    </xf>
    <xf numFmtId="0" fontId="4" fillId="0" borderId="47" xfId="0" applyFont="1" applyBorder="1"/>
    <xf numFmtId="0" fontId="21" fillId="0" borderId="35" xfId="0" applyFont="1" applyBorder="1"/>
    <xf numFmtId="0" fontId="0" fillId="0" borderId="18" xfId="0" applyBorder="1"/>
    <xf numFmtId="0" fontId="0" fillId="0" borderId="20" xfId="0" applyBorder="1"/>
    <xf numFmtId="0" fontId="25" fillId="0" borderId="20" xfId="0" applyFont="1" applyBorder="1"/>
    <xf numFmtId="0" fontId="2" fillId="0" borderId="20" xfId="0" applyFont="1" applyBorder="1"/>
    <xf numFmtId="0" fontId="0" fillId="0" borderId="39" xfId="0" applyBorder="1"/>
    <xf numFmtId="0" fontId="14" fillId="0" borderId="16" xfId="0" applyFont="1" applyBorder="1"/>
    <xf numFmtId="0" fontId="15" fillId="0" borderId="16" xfId="0" applyFont="1" applyBorder="1"/>
    <xf numFmtId="0" fontId="16" fillId="0" borderId="16" xfId="0" applyFont="1" applyBorder="1"/>
    <xf numFmtId="0" fontId="10" fillId="0" borderId="16" xfId="0" applyFont="1" applyBorder="1"/>
    <xf numFmtId="0" fontId="17" fillId="0" borderId="16" xfId="0" applyFont="1" applyBorder="1"/>
    <xf numFmtId="0" fontId="26" fillId="0" borderId="16" xfId="0" applyFont="1" applyBorder="1"/>
    <xf numFmtId="0" fontId="26" fillId="0" borderId="0" xfId="0" applyFont="1" applyBorder="1"/>
    <xf numFmtId="4" fontId="25" fillId="0" borderId="35" xfId="0" applyNumberFormat="1" applyFont="1" applyBorder="1"/>
    <xf numFmtId="0" fontId="26" fillId="0" borderId="20" xfId="0" applyFont="1" applyBorder="1"/>
    <xf numFmtId="4" fontId="13" fillId="0" borderId="32" xfId="0" applyNumberFormat="1" applyFont="1" applyBorder="1" applyAlignment="1">
      <alignment horizontal="right"/>
    </xf>
    <xf numFmtId="4" fontId="23" fillId="0" borderId="48" xfId="0" applyNumberFormat="1" applyFont="1" applyBorder="1"/>
    <xf numFmtId="0" fontId="23" fillId="0" borderId="1" xfId="0" applyFont="1" applyFill="1" applyBorder="1"/>
    <xf numFmtId="4" fontId="23" fillId="0" borderId="3" xfId="0" applyNumberFormat="1" applyFont="1" applyFill="1" applyBorder="1"/>
    <xf numFmtId="4" fontId="23" fillId="0" borderId="6" xfId="0" applyNumberFormat="1" applyFont="1" applyFill="1" applyBorder="1"/>
    <xf numFmtId="4" fontId="23" fillId="0" borderId="8" xfId="0" applyNumberFormat="1" applyFont="1" applyFill="1" applyBorder="1"/>
    <xf numFmtId="4" fontId="13" fillId="0" borderId="1" xfId="0" applyNumberFormat="1" applyFont="1" applyFill="1" applyBorder="1" applyAlignment="1">
      <alignment horizontal="right"/>
    </xf>
    <xf numFmtId="4" fontId="32" fillId="0" borderId="0" xfId="0" applyNumberFormat="1" applyFont="1" applyFill="1" applyBorder="1"/>
    <xf numFmtId="4" fontId="32" fillId="0" borderId="9" xfId="0" applyNumberFormat="1" applyFont="1" applyFill="1" applyBorder="1"/>
    <xf numFmtId="4" fontId="13" fillId="0" borderId="5" xfId="0" applyNumberFormat="1" applyFont="1" applyFill="1" applyBorder="1" applyAlignment="1">
      <alignment horizontal="right"/>
    </xf>
    <xf numFmtId="0" fontId="26" fillId="0" borderId="3" xfId="0" applyFont="1" applyFill="1" applyBorder="1"/>
    <xf numFmtId="0" fontId="26" fillId="0" borderId="6" xfId="0" applyFont="1" applyFill="1" applyBorder="1"/>
    <xf numFmtId="0" fontId="26" fillId="0" borderId="8" xfId="0" applyFont="1" applyFill="1" applyBorder="1"/>
    <xf numFmtId="0" fontId="26" fillId="0" borderId="0" xfId="0" applyFont="1" applyFill="1" applyBorder="1"/>
    <xf numFmtId="4" fontId="13" fillId="0" borderId="4" xfId="0" applyNumberFormat="1" applyFont="1" applyFill="1" applyBorder="1" applyAlignment="1">
      <alignment horizontal="right"/>
    </xf>
    <xf numFmtId="0" fontId="26" fillId="0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utaja/Documents/EELARVE/2014.a/12%20kuud/Oktoobrikuu%20kulud%20EA%20'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obrikuu kulud EA '14"/>
      <sheetName val="koond"/>
      <sheetName val="TK020002"/>
      <sheetName val="toetused"/>
      <sheetName val="blank"/>
      <sheetName val="TK020004"/>
      <sheetName val="01"/>
      <sheetName val="03"/>
      <sheetName val="07"/>
      <sheetName val="08"/>
      <sheetName val="09"/>
      <sheetName val="1000"/>
      <sheetName val="OV"/>
      <sheetName val="OV koond"/>
      <sheetName val="52 001"/>
      <sheetName val="52 002"/>
      <sheetName val="52 003 "/>
      <sheetName val="52 005"/>
      <sheetName val="52 006"/>
      <sheetName val="52 007"/>
      <sheetName val="52 008"/>
      <sheetName val="52 009"/>
      <sheetName val="52 139"/>
      <sheetName val="KM"/>
      <sheetName val="RE ja OV Oktoober '14"/>
      <sheetName val="Sheet26"/>
    </sheetNames>
    <sheetDataSet>
      <sheetData sheetId="0"/>
      <sheetData sheetId="1"/>
      <sheetData sheetId="2"/>
      <sheetData sheetId="3">
        <row r="1486">
          <cell r="D1486">
            <v>344.38</v>
          </cell>
        </row>
        <row r="1569">
          <cell r="D1569">
            <v>1710.1599999999999</v>
          </cell>
        </row>
        <row r="1572">
          <cell r="D1572">
            <v>1933.4</v>
          </cell>
        </row>
      </sheetData>
      <sheetData sheetId="4"/>
      <sheetData sheetId="5"/>
      <sheetData sheetId="6">
        <row r="67">
          <cell r="D67">
            <v>-16.97</v>
          </cell>
        </row>
        <row r="108">
          <cell r="D108">
            <v>15677.359999999999</v>
          </cell>
        </row>
        <row r="112">
          <cell r="D112">
            <v>5391.66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22">
          <cell r="D122">
            <v>1.2</v>
          </cell>
        </row>
        <row r="129">
          <cell r="D129">
            <v>198.98000000000002</v>
          </cell>
        </row>
        <row r="133">
          <cell r="D133">
            <v>218.59</v>
          </cell>
        </row>
        <row r="136">
          <cell r="D136">
            <v>53</v>
          </cell>
        </row>
        <row r="158">
          <cell r="D158">
            <v>1300.2</v>
          </cell>
        </row>
        <row r="162">
          <cell r="D162">
            <v>65.150000000000006</v>
          </cell>
        </row>
        <row r="166">
          <cell r="D166">
            <v>444.7</v>
          </cell>
        </row>
        <row r="193">
          <cell r="D193">
            <v>12516.890000000001</v>
          </cell>
        </row>
        <row r="197">
          <cell r="D197">
            <v>303.52</v>
          </cell>
        </row>
        <row r="213">
          <cell r="D213">
            <v>880.20999999999981</v>
          </cell>
        </row>
        <row r="224">
          <cell r="D224">
            <v>2140.3000000000002</v>
          </cell>
        </row>
        <row r="235">
          <cell r="D235">
            <v>815.25999999999988</v>
          </cell>
        </row>
        <row r="239">
          <cell r="D239">
            <v>690.72</v>
          </cell>
        </row>
        <row r="250">
          <cell r="D250">
            <v>780.24</v>
          </cell>
        </row>
        <row r="253">
          <cell r="D253">
            <v>50</v>
          </cell>
        </row>
      </sheetData>
      <sheetData sheetId="15">
        <row r="57">
          <cell r="D57">
            <v>4.0999999999999996</v>
          </cell>
        </row>
        <row r="66">
          <cell r="D66">
            <v>510.28999999999996</v>
          </cell>
        </row>
        <row r="70">
          <cell r="D70">
            <v>188.49</v>
          </cell>
        </row>
        <row r="76">
          <cell r="D76">
            <v>338.69</v>
          </cell>
        </row>
        <row r="82">
          <cell r="D82">
            <v>185.54000000000002</v>
          </cell>
        </row>
        <row r="86">
          <cell r="D86">
            <v>83.84</v>
          </cell>
        </row>
        <row r="90">
          <cell r="D90">
            <v>57.19</v>
          </cell>
        </row>
      </sheetData>
      <sheetData sheetId="16">
        <row r="208">
          <cell r="D208">
            <v>182.36999999999998</v>
          </cell>
        </row>
        <row r="212">
          <cell r="D212">
            <v>299.2</v>
          </cell>
        </row>
        <row r="215">
          <cell r="D215">
            <v>0.61</v>
          </cell>
        </row>
        <row r="220">
          <cell r="D220">
            <v>318.52</v>
          </cell>
        </row>
        <row r="227">
          <cell r="D227">
            <v>962.18000000000006</v>
          </cell>
        </row>
        <row r="230">
          <cell r="D230">
            <v>26.16</v>
          </cell>
        </row>
        <row r="237">
          <cell r="D237">
            <v>510.90999999999997</v>
          </cell>
        </row>
        <row r="240">
          <cell r="D240">
            <v>109.85</v>
          </cell>
        </row>
        <row r="352">
          <cell r="D352">
            <v>20831.669999999995</v>
          </cell>
        </row>
        <row r="358">
          <cell r="D358">
            <v>662.15000000000009</v>
          </cell>
        </row>
        <row r="362">
          <cell r="D362">
            <v>258.41000000000003</v>
          </cell>
        </row>
        <row r="366">
          <cell r="D366">
            <v>73.8</v>
          </cell>
        </row>
      </sheetData>
      <sheetData sheetId="17">
        <row r="487">
          <cell r="D487">
            <v>5761.01</v>
          </cell>
        </row>
        <row r="491">
          <cell r="D491">
            <v>2027.84</v>
          </cell>
        </row>
        <row r="496">
          <cell r="D496">
            <v>49.65</v>
          </cell>
        </row>
        <row r="510">
          <cell r="D510">
            <v>3822.39</v>
          </cell>
        </row>
        <row r="513">
          <cell r="D513">
            <v>47.7</v>
          </cell>
        </row>
        <row r="520">
          <cell r="D520">
            <v>240.03000000000003</v>
          </cell>
        </row>
        <row r="525">
          <cell r="D525">
            <v>107.22</v>
          </cell>
        </row>
      </sheetData>
      <sheetData sheetId="18">
        <row r="64">
          <cell r="D64">
            <v>610.87</v>
          </cell>
        </row>
        <row r="69">
          <cell r="D69">
            <v>306.62</v>
          </cell>
        </row>
        <row r="83">
          <cell r="D83">
            <v>2058.1999999999998</v>
          </cell>
        </row>
        <row r="86">
          <cell r="D86">
            <v>125.41</v>
          </cell>
        </row>
        <row r="93">
          <cell r="D93">
            <v>807.14</v>
          </cell>
        </row>
        <row r="97">
          <cell r="D97">
            <v>46.94</v>
          </cell>
        </row>
      </sheetData>
      <sheetData sheetId="19">
        <row r="41">
          <cell r="D41">
            <v>239.67999999999998</v>
          </cell>
        </row>
        <row r="45">
          <cell r="D45">
            <v>61.879999999999995</v>
          </cell>
        </row>
        <row r="48">
          <cell r="D48">
            <v>65.09</v>
          </cell>
        </row>
      </sheetData>
      <sheetData sheetId="20">
        <row r="55">
          <cell r="D55">
            <v>1.2</v>
          </cell>
        </row>
        <row r="62">
          <cell r="D62">
            <v>769.83999999999992</v>
          </cell>
        </row>
        <row r="66">
          <cell r="D66">
            <v>43.52</v>
          </cell>
        </row>
        <row r="74">
          <cell r="D74">
            <v>61.349999999999994</v>
          </cell>
        </row>
        <row r="77">
          <cell r="D77">
            <v>27.31</v>
          </cell>
        </row>
        <row r="81">
          <cell r="D81">
            <v>38.81</v>
          </cell>
        </row>
        <row r="86">
          <cell r="D86">
            <v>74.260000000000005</v>
          </cell>
        </row>
        <row r="94">
          <cell r="D94">
            <v>406.59000000000003</v>
          </cell>
        </row>
        <row r="112">
          <cell r="D112">
            <v>2579.84</v>
          </cell>
        </row>
        <row r="115">
          <cell r="D115">
            <v>327.94</v>
          </cell>
        </row>
        <row r="118">
          <cell r="D118">
            <v>11.65</v>
          </cell>
        </row>
      </sheetData>
      <sheetData sheetId="21">
        <row r="10">
          <cell r="D10">
            <v>242.02</v>
          </cell>
        </row>
        <row r="13">
          <cell r="D13">
            <v>19.5</v>
          </cell>
        </row>
        <row r="16">
          <cell r="D16">
            <v>190.8</v>
          </cell>
        </row>
        <row r="19">
          <cell r="D19">
            <v>37.049999999999997</v>
          </cell>
        </row>
      </sheetData>
      <sheetData sheetId="22">
        <row r="5">
          <cell r="D5">
            <v>2075</v>
          </cell>
        </row>
      </sheetData>
      <sheetData sheetId="23">
        <row r="6">
          <cell r="D6">
            <v>4032.64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40" workbookViewId="0">
      <selection activeCell="O28" sqref="O28"/>
    </sheetView>
  </sheetViews>
  <sheetFormatPr defaultRowHeight="15" x14ac:dyDescent="0.25"/>
  <cols>
    <col min="1" max="1" width="10.140625" customWidth="1"/>
    <col min="2" max="2" width="15.7109375" customWidth="1"/>
    <col min="3" max="3" width="11.85546875" customWidth="1"/>
    <col min="4" max="4" width="10.140625" customWidth="1"/>
    <col min="5" max="5" width="10.42578125" customWidth="1"/>
    <col min="6" max="6" width="11.7109375" customWidth="1"/>
    <col min="7" max="7" width="10.7109375" customWidth="1"/>
    <col min="8" max="8" width="9.140625" style="168" customWidth="1"/>
    <col min="9" max="9" width="11.85546875" style="168" customWidth="1"/>
    <col min="10" max="10" width="9.140625" style="168"/>
    <col min="11" max="11" width="12.7109375" style="168" customWidth="1"/>
    <col min="12" max="12" width="11.140625" customWidth="1"/>
    <col min="13" max="13" width="9.85546875" customWidth="1"/>
    <col min="15" max="15" width="11.28515625" customWidth="1"/>
    <col min="25" max="25" width="11.42578125" customWidth="1"/>
  </cols>
  <sheetData>
    <row r="1" spans="1:13" ht="18.75" x14ac:dyDescent="0.3">
      <c r="C1" s="1" t="s">
        <v>0</v>
      </c>
      <c r="I1" s="2"/>
    </row>
    <row r="2" spans="1:13" ht="3.75" customHeight="1" x14ac:dyDescent="0.25">
      <c r="I2" s="2"/>
    </row>
    <row r="3" spans="1:13" ht="15.75" x14ac:dyDescent="0.25">
      <c r="D3" s="3" t="s">
        <v>1</v>
      </c>
      <c r="F3" s="4" t="s">
        <v>2</v>
      </c>
      <c r="I3" s="2"/>
    </row>
    <row r="4" spans="1:13" ht="15.75" x14ac:dyDescent="0.25">
      <c r="A4" s="4" t="s">
        <v>3</v>
      </c>
      <c r="B4" s="4"/>
      <c r="D4" s="5" t="s">
        <v>4</v>
      </c>
      <c r="F4" s="5"/>
      <c r="G4" s="5" t="s">
        <v>5</v>
      </c>
      <c r="H4" s="5" t="s">
        <v>6</v>
      </c>
      <c r="I4" s="2"/>
      <c r="L4" s="5"/>
    </row>
    <row r="5" spans="1:13" ht="39" x14ac:dyDescent="0.25">
      <c r="A5" s="179" t="s">
        <v>7</v>
      </c>
      <c r="B5" s="179" t="s">
        <v>8</v>
      </c>
      <c r="C5" s="7" t="s">
        <v>9</v>
      </c>
      <c r="D5" s="8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9" t="s">
        <v>15</v>
      </c>
      <c r="M5" s="10"/>
    </row>
    <row r="6" spans="1:13" ht="15.75" x14ac:dyDescent="0.25">
      <c r="A6" s="11">
        <v>50</v>
      </c>
      <c r="B6" s="12" t="s">
        <v>16</v>
      </c>
      <c r="C6" s="13">
        <f>'[1]01'!D67</f>
        <v>-16.97</v>
      </c>
      <c r="D6" s="14"/>
      <c r="E6" s="15"/>
      <c r="F6" s="16"/>
      <c r="G6" s="152"/>
      <c r="H6" s="2"/>
      <c r="I6" s="18">
        <f>SUM(C6:H6)</f>
        <v>-16.97</v>
      </c>
    </row>
    <row r="7" spans="1:13" ht="15.75" x14ac:dyDescent="0.25">
      <c r="A7" s="19" t="s">
        <v>17</v>
      </c>
      <c r="B7" s="12" t="s">
        <v>18</v>
      </c>
      <c r="C7" s="13">
        <f>'[1]01'!D108</f>
        <v>15677.359999999999</v>
      </c>
      <c r="D7" s="20">
        <v>8153.79</v>
      </c>
      <c r="E7" s="15"/>
      <c r="F7" s="16">
        <v>60363.58</v>
      </c>
      <c r="G7" s="16">
        <v>6535.26</v>
      </c>
      <c r="H7" s="21">
        <f>77.31</f>
        <v>77.31</v>
      </c>
      <c r="I7" s="16">
        <f>SUM(C7:H7)</f>
        <v>90807.299999999988</v>
      </c>
    </row>
    <row r="8" spans="1:13" ht="15.75" x14ac:dyDescent="0.25">
      <c r="A8" s="22" t="s">
        <v>19</v>
      </c>
      <c r="B8" s="23" t="s">
        <v>20</v>
      </c>
      <c r="C8" s="13">
        <f>'[1]01'!D112</f>
        <v>5391.66</v>
      </c>
      <c r="D8" s="20">
        <v>2685.32</v>
      </c>
      <c r="E8" s="24"/>
      <c r="F8" s="16">
        <v>21521.19</v>
      </c>
      <c r="G8" s="16">
        <v>2375</v>
      </c>
      <c r="H8" s="21">
        <f>108.8</f>
        <v>108.8</v>
      </c>
      <c r="I8" s="25">
        <f>SUM(C8:H8)</f>
        <v>32081.969999999998</v>
      </c>
    </row>
    <row r="9" spans="1:13" ht="15.75" x14ac:dyDescent="0.25">
      <c r="A9" s="26"/>
      <c r="B9" s="27"/>
      <c r="C9" s="28">
        <f>SUM(C6:C8)</f>
        <v>21052.05</v>
      </c>
      <c r="D9" s="28">
        <f t="shared" ref="D9:E9" si="0">SUM(D6:D8)</f>
        <v>10839.11</v>
      </c>
      <c r="E9" s="28">
        <f t="shared" si="0"/>
        <v>0</v>
      </c>
      <c r="F9" s="28">
        <f>SUM(F6:F8)</f>
        <v>81884.77</v>
      </c>
      <c r="G9" s="28">
        <f>SUM(G6:G8)</f>
        <v>8910.26</v>
      </c>
      <c r="H9" s="28">
        <f>SUM(H6:H8)</f>
        <v>186.11</v>
      </c>
      <c r="I9" s="29">
        <f>SUM(I6:I8)</f>
        <v>122872.29999999999</v>
      </c>
    </row>
    <row r="10" spans="1:13" ht="15.75" x14ac:dyDescent="0.25">
      <c r="A10" s="30"/>
      <c r="B10" s="31"/>
      <c r="C10" s="32"/>
      <c r="D10" s="32"/>
      <c r="E10" s="33"/>
      <c r="F10" s="32"/>
      <c r="G10" s="32"/>
      <c r="H10" s="34"/>
      <c r="I10" s="28">
        <f>SUM(C9:H9)</f>
        <v>122872.3</v>
      </c>
    </row>
    <row r="11" spans="1:13" ht="15.75" x14ac:dyDescent="0.25">
      <c r="A11" s="35" t="s">
        <v>21</v>
      </c>
      <c r="B11" s="36"/>
      <c r="C11" s="37"/>
      <c r="D11" s="38"/>
      <c r="E11" s="39"/>
      <c r="F11" s="38"/>
      <c r="G11" s="38"/>
      <c r="H11" s="40"/>
      <c r="I11" s="38"/>
      <c r="J11" s="34"/>
      <c r="K11" s="32"/>
    </row>
    <row r="12" spans="1:13" ht="15.75" x14ac:dyDescent="0.25">
      <c r="A12" s="41">
        <v>5500</v>
      </c>
      <c r="B12" s="42" t="s">
        <v>22</v>
      </c>
      <c r="C12" s="43"/>
      <c r="D12" s="44"/>
      <c r="E12" s="45"/>
      <c r="F12" s="16"/>
      <c r="G12" s="46"/>
      <c r="H12" s="45"/>
      <c r="I12" s="18"/>
      <c r="J12" s="154" t="s">
        <v>23</v>
      </c>
      <c r="K12" s="48"/>
      <c r="L12" s="49" t="s">
        <v>24</v>
      </c>
      <c r="M12" s="50"/>
    </row>
    <row r="13" spans="1:13" ht="16.5" thickBot="1" x14ac:dyDescent="0.3">
      <c r="A13" s="51">
        <v>5502</v>
      </c>
      <c r="B13" s="42" t="s">
        <v>25</v>
      </c>
      <c r="C13" s="43"/>
      <c r="D13" s="44"/>
      <c r="E13" s="45"/>
      <c r="F13" s="16"/>
      <c r="G13" s="46"/>
      <c r="H13" s="45"/>
      <c r="I13" s="16"/>
      <c r="J13" s="53" t="s">
        <v>26</v>
      </c>
      <c r="K13" s="53"/>
      <c r="L13" s="53" t="s">
        <v>27</v>
      </c>
      <c r="M13" s="54" t="s">
        <v>28</v>
      </c>
    </row>
    <row r="14" spans="1:13" ht="16.5" thickBot="1" x14ac:dyDescent="0.3">
      <c r="A14" s="51">
        <v>5503</v>
      </c>
      <c r="B14" s="42" t="s">
        <v>29</v>
      </c>
      <c r="C14" s="43"/>
      <c r="D14" s="44"/>
      <c r="E14" s="45"/>
      <c r="F14" s="16"/>
      <c r="G14" s="46"/>
      <c r="H14" s="45"/>
      <c r="I14" s="16"/>
      <c r="J14" s="154" t="s">
        <v>30</v>
      </c>
      <c r="K14" s="50"/>
      <c r="L14" s="55" t="s">
        <v>31</v>
      </c>
      <c r="M14" s="56">
        <f>M15+M16</f>
        <v>29779.1</v>
      </c>
    </row>
    <row r="15" spans="1:13" ht="15.75" x14ac:dyDescent="0.25">
      <c r="A15" s="51">
        <v>5504</v>
      </c>
      <c r="B15" s="42" t="s">
        <v>32</v>
      </c>
      <c r="C15" s="43"/>
      <c r="D15" s="44"/>
      <c r="E15" s="45"/>
      <c r="F15" s="16"/>
      <c r="G15" s="46"/>
      <c r="H15" s="45"/>
      <c r="I15" s="16"/>
      <c r="J15" s="155" t="s">
        <v>33</v>
      </c>
      <c r="K15" s="58"/>
      <c r="L15" s="59">
        <v>52091</v>
      </c>
      <c r="M15" s="60">
        <v>20939.099999999999</v>
      </c>
    </row>
    <row r="16" spans="1:13" ht="16.5" thickBot="1" x14ac:dyDescent="0.3">
      <c r="A16" s="51">
        <v>5511</v>
      </c>
      <c r="B16" s="42" t="s">
        <v>34</v>
      </c>
      <c r="C16" s="43">
        <v>12.449999999999983</v>
      </c>
      <c r="D16" s="44"/>
      <c r="E16" s="45"/>
      <c r="F16" s="16"/>
      <c r="G16" s="46"/>
      <c r="H16" s="45"/>
      <c r="I16" s="16">
        <v>12.449999999999983</v>
      </c>
      <c r="J16" s="156" t="s">
        <v>35</v>
      </c>
      <c r="K16" s="62"/>
      <c r="L16" s="63">
        <v>52093</v>
      </c>
      <c r="M16" s="64">
        <v>8840</v>
      </c>
    </row>
    <row r="17" spans="1:15" ht="16.5" thickBot="1" x14ac:dyDescent="0.3">
      <c r="A17" s="51">
        <v>5512</v>
      </c>
      <c r="B17" s="42" t="s">
        <v>36</v>
      </c>
      <c r="C17" s="43"/>
      <c r="D17" s="44"/>
      <c r="E17" s="45"/>
      <c r="F17" s="16"/>
      <c r="G17" s="46"/>
      <c r="H17" s="45"/>
      <c r="I17" s="16"/>
      <c r="J17" s="157" t="s">
        <v>37</v>
      </c>
      <c r="K17" s="66"/>
      <c r="L17" s="67">
        <v>52095</v>
      </c>
      <c r="M17" s="68">
        <f>[1]toetused!D1486</f>
        <v>344.38</v>
      </c>
    </row>
    <row r="18" spans="1:15" ht="16.5" thickBot="1" x14ac:dyDescent="0.3">
      <c r="A18" s="51">
        <v>5513</v>
      </c>
      <c r="B18" s="42" t="s">
        <v>38</v>
      </c>
      <c r="C18" s="43"/>
      <c r="D18" s="44"/>
      <c r="E18" s="45"/>
      <c r="F18" s="16"/>
      <c r="G18" s="46"/>
      <c r="H18" s="45"/>
      <c r="I18" s="16"/>
      <c r="J18" s="157" t="s">
        <v>39</v>
      </c>
      <c r="K18" s="66"/>
      <c r="L18" s="67">
        <v>52094</v>
      </c>
      <c r="M18" s="68">
        <v>9346.15</v>
      </c>
    </row>
    <row r="19" spans="1:15" ht="15.75" x14ac:dyDescent="0.25">
      <c r="A19" s="51">
        <v>5514</v>
      </c>
      <c r="B19" s="42" t="s">
        <v>40</v>
      </c>
      <c r="C19" s="43"/>
      <c r="D19" s="44"/>
      <c r="E19" s="45"/>
      <c r="F19" s="16"/>
      <c r="G19" s="46"/>
      <c r="H19" s="45"/>
      <c r="I19" s="16"/>
      <c r="J19" s="158" t="s">
        <v>41</v>
      </c>
      <c r="K19" s="70"/>
      <c r="L19" s="71">
        <v>52008</v>
      </c>
      <c r="M19" s="72">
        <f>[1]toetused!D1569</f>
        <v>1710.1599999999999</v>
      </c>
    </row>
    <row r="20" spans="1:15" ht="16.5" thickBot="1" x14ac:dyDescent="0.3">
      <c r="A20" s="51">
        <v>5515</v>
      </c>
      <c r="B20" s="42" t="s">
        <v>42</v>
      </c>
      <c r="C20" s="43">
        <v>299.08</v>
      </c>
      <c r="D20" s="44"/>
      <c r="E20" s="45"/>
      <c r="F20" s="16"/>
      <c r="G20" s="46"/>
      <c r="H20" s="45"/>
      <c r="I20" s="16">
        <v>299.08</v>
      </c>
      <c r="J20" s="159" t="s">
        <v>41</v>
      </c>
      <c r="K20" s="74"/>
      <c r="L20" s="75">
        <v>521000</v>
      </c>
      <c r="M20" s="76">
        <f>[1]toetused!D1572</f>
        <v>1933.4</v>
      </c>
    </row>
    <row r="21" spans="1:15" ht="15.75" x14ac:dyDescent="0.25">
      <c r="A21" s="51">
        <v>5516</v>
      </c>
      <c r="B21" s="42" t="s">
        <v>43</v>
      </c>
      <c r="C21" s="43"/>
      <c r="D21" s="44"/>
      <c r="E21" s="45"/>
      <c r="F21" s="16"/>
      <c r="G21" s="46"/>
      <c r="H21" s="45"/>
      <c r="I21" s="16"/>
      <c r="J21" s="77"/>
      <c r="K21" s="77"/>
      <c r="L21" s="77"/>
      <c r="M21" s="78">
        <f>SUM(M15:M20)</f>
        <v>43113.189999999995</v>
      </c>
    </row>
    <row r="22" spans="1:15" ht="15.75" x14ac:dyDescent="0.25">
      <c r="A22" s="51">
        <v>5521</v>
      </c>
      <c r="B22" s="42" t="s">
        <v>44</v>
      </c>
      <c r="C22" s="43">
        <v>23.47</v>
      </c>
      <c r="D22" s="44"/>
      <c r="E22" s="16">
        <v>46.87</v>
      </c>
      <c r="F22" s="16">
        <v>12.36</v>
      </c>
      <c r="G22" s="46"/>
      <c r="H22" s="45"/>
      <c r="I22" s="16">
        <v>82.7</v>
      </c>
      <c r="J22" s="2"/>
      <c r="K22" s="2"/>
      <c r="L22" s="2"/>
      <c r="M22" s="2"/>
    </row>
    <row r="23" spans="1:15" ht="15.75" x14ac:dyDescent="0.25">
      <c r="A23" s="51">
        <v>5522</v>
      </c>
      <c r="B23" s="15" t="s">
        <v>45</v>
      </c>
      <c r="C23" s="43">
        <v>263.61</v>
      </c>
      <c r="D23" s="44"/>
      <c r="E23" s="45"/>
      <c r="F23" s="16"/>
      <c r="G23" s="46"/>
      <c r="H23" s="45"/>
      <c r="I23" s="16">
        <v>263.61</v>
      </c>
      <c r="J23" s="154" t="s">
        <v>23</v>
      </c>
      <c r="K23" s="79"/>
      <c r="L23" s="49" t="s">
        <v>46</v>
      </c>
      <c r="M23" s="151"/>
    </row>
    <row r="24" spans="1:15" ht="15.75" x14ac:dyDescent="0.25">
      <c r="A24" s="51">
        <v>5524</v>
      </c>
      <c r="B24" s="42" t="s">
        <v>47</v>
      </c>
      <c r="C24" s="43"/>
      <c r="D24" s="44"/>
      <c r="E24" s="45"/>
      <c r="F24" s="16">
        <v>-6729.9</v>
      </c>
      <c r="G24" s="46"/>
      <c r="H24" s="45"/>
      <c r="I24" s="16">
        <v>-6729.9</v>
      </c>
      <c r="J24" s="53" t="s">
        <v>26</v>
      </c>
      <c r="K24" s="40"/>
      <c r="L24" s="53" t="s">
        <v>27</v>
      </c>
      <c r="M24" s="80" t="s">
        <v>28</v>
      </c>
    </row>
    <row r="25" spans="1:15" ht="15.75" x14ac:dyDescent="0.25">
      <c r="A25" s="51">
        <v>5525</v>
      </c>
      <c r="B25" s="42" t="s">
        <v>48</v>
      </c>
      <c r="C25" s="43"/>
      <c r="D25" s="44"/>
      <c r="E25" s="45"/>
      <c r="F25" s="16"/>
      <c r="G25" s="46"/>
      <c r="H25" s="45"/>
      <c r="I25" s="16"/>
      <c r="J25" s="34"/>
      <c r="K25" s="34"/>
      <c r="L25" s="77"/>
      <c r="M25" s="54"/>
    </row>
    <row r="26" spans="1:15" ht="15.75" x14ac:dyDescent="0.25">
      <c r="A26" s="51">
        <v>5532</v>
      </c>
      <c r="B26" s="42" t="s">
        <v>49</v>
      </c>
      <c r="C26" s="43"/>
      <c r="D26" s="44"/>
      <c r="E26" s="45"/>
      <c r="F26" s="16"/>
      <c r="G26" s="46"/>
      <c r="H26" s="45"/>
      <c r="I26" s="16"/>
      <c r="J26" s="160" t="s">
        <v>50</v>
      </c>
      <c r="K26" s="82"/>
      <c r="L26" s="83"/>
      <c r="M26" s="84">
        <v>11040</v>
      </c>
    </row>
    <row r="27" spans="1:15" ht="15.75" x14ac:dyDescent="0.25">
      <c r="A27" s="51">
        <v>5539</v>
      </c>
      <c r="B27" s="42" t="s">
        <v>51</v>
      </c>
      <c r="C27" s="43"/>
      <c r="D27" s="44"/>
      <c r="E27" s="45"/>
      <c r="F27" s="16"/>
      <c r="G27" s="46"/>
      <c r="H27" s="45"/>
      <c r="I27" s="16"/>
      <c r="J27" s="40"/>
      <c r="K27" s="40"/>
      <c r="L27" s="40"/>
      <c r="M27" s="28">
        <f>SUM(M26)</f>
        <v>11040</v>
      </c>
    </row>
    <row r="28" spans="1:15" ht="15.75" x14ac:dyDescent="0.25">
      <c r="A28" s="51">
        <v>5540</v>
      </c>
      <c r="B28" s="42" t="s">
        <v>52</v>
      </c>
      <c r="C28" s="43"/>
      <c r="D28" s="44"/>
      <c r="E28" s="45"/>
      <c r="F28" s="16"/>
      <c r="G28" s="46"/>
      <c r="H28" s="45"/>
      <c r="I28" s="16"/>
      <c r="J28" s="161"/>
      <c r="K28" s="161"/>
      <c r="M28" s="2"/>
      <c r="N28" s="2"/>
      <c r="O28" s="2"/>
    </row>
    <row r="29" spans="1:15" ht="15.75" x14ac:dyDescent="0.25">
      <c r="A29" s="51">
        <v>4528</v>
      </c>
      <c r="B29" s="42" t="s">
        <v>53</v>
      </c>
      <c r="C29" s="43"/>
      <c r="D29" s="44"/>
      <c r="E29" s="45"/>
      <c r="F29" s="16"/>
      <c r="G29" s="46"/>
      <c r="H29" s="45"/>
      <c r="I29" s="16"/>
      <c r="J29" s="161"/>
      <c r="K29" s="161"/>
    </row>
    <row r="30" spans="1:15" ht="15.75" x14ac:dyDescent="0.25">
      <c r="A30" s="85">
        <v>6010</v>
      </c>
      <c r="B30" s="24" t="s">
        <v>54</v>
      </c>
      <c r="C30" s="43">
        <v>-64.240000000000009</v>
      </c>
      <c r="D30" s="44"/>
      <c r="E30" s="86"/>
      <c r="F30" s="25"/>
      <c r="G30" s="46"/>
      <c r="H30" s="86"/>
      <c r="I30" s="25">
        <v>-64.240000000000009</v>
      </c>
      <c r="J30" s="161"/>
      <c r="K30" s="161"/>
    </row>
    <row r="31" spans="1:15" ht="16.5" thickBot="1" x14ac:dyDescent="0.3">
      <c r="A31" s="87"/>
      <c r="B31" s="87"/>
      <c r="C31" s="28">
        <v>534.37</v>
      </c>
      <c r="D31" s="28">
        <v>0</v>
      </c>
      <c r="E31" s="28">
        <v>46.87</v>
      </c>
      <c r="F31" s="28">
        <v>-6717.54</v>
      </c>
      <c r="G31" s="28">
        <v>0</v>
      </c>
      <c r="H31" s="28">
        <v>0</v>
      </c>
      <c r="I31" s="29">
        <v>-6136.2999999999993</v>
      </c>
      <c r="J31" s="32"/>
      <c r="K31" s="32"/>
    </row>
    <row r="32" spans="1:15" ht="16.5" thickBot="1" x14ac:dyDescent="0.3">
      <c r="H32" s="2"/>
      <c r="I32" s="186">
        <v>-6136.3</v>
      </c>
      <c r="J32" s="161"/>
      <c r="K32" s="32"/>
    </row>
    <row r="33" spans="1:13" ht="15.75" x14ac:dyDescent="0.25">
      <c r="A33" s="89" t="s">
        <v>55</v>
      </c>
      <c r="D33" s="2" t="s">
        <v>56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 t="s">
        <v>57</v>
      </c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 t="s">
        <v>58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90" t="s">
        <v>59</v>
      </c>
      <c r="B37" s="55"/>
      <c r="C37" s="91"/>
      <c r="D37" s="92" t="s">
        <v>60</v>
      </c>
      <c r="E37" s="93" t="s">
        <v>4</v>
      </c>
      <c r="F37" s="91"/>
      <c r="G37" s="93"/>
      <c r="H37" s="94" t="s">
        <v>6</v>
      </c>
      <c r="I37" s="95"/>
      <c r="J37" s="96" t="s">
        <v>61</v>
      </c>
      <c r="K37" s="55" t="s">
        <v>62</v>
      </c>
      <c r="L37" s="55" t="s">
        <v>63</v>
      </c>
      <c r="M37" s="97" t="s">
        <v>64</v>
      </c>
    </row>
    <row r="38" spans="1:13" ht="15.75" thickBot="1" x14ac:dyDescent="0.3">
      <c r="A38" s="98" t="s">
        <v>65</v>
      </c>
      <c r="B38" s="99"/>
      <c r="C38" s="100"/>
      <c r="D38" s="100"/>
      <c r="E38" s="100"/>
      <c r="F38" s="100"/>
      <c r="G38" s="100"/>
      <c r="H38" s="33"/>
      <c r="I38" s="101" t="s">
        <v>80</v>
      </c>
      <c r="K38" s="102" t="s">
        <v>66</v>
      </c>
      <c r="L38" s="102" t="s">
        <v>66</v>
      </c>
      <c r="M38" s="102" t="s">
        <v>66</v>
      </c>
    </row>
    <row r="39" spans="1:13" x14ac:dyDescent="0.25">
      <c r="A39" s="103"/>
      <c r="B39" s="104" t="s">
        <v>16</v>
      </c>
      <c r="C39" s="105">
        <v>50</v>
      </c>
      <c r="D39" s="106"/>
      <c r="E39" s="107" t="s">
        <v>55</v>
      </c>
      <c r="F39" s="108" t="s">
        <v>67</v>
      </c>
      <c r="G39" s="108"/>
      <c r="H39" s="108"/>
      <c r="I39" s="108"/>
      <c r="J39" s="108"/>
      <c r="K39" s="109">
        <v>0</v>
      </c>
      <c r="L39" s="109">
        <f>M46</f>
        <v>6.5</v>
      </c>
      <c r="M39" s="109">
        <f>SUM(K39:L39)</f>
        <v>6.5</v>
      </c>
    </row>
    <row r="40" spans="1:13" x14ac:dyDescent="0.25">
      <c r="A40" s="103"/>
      <c r="B40" s="110" t="s">
        <v>18</v>
      </c>
      <c r="C40" s="111" t="s">
        <v>17</v>
      </c>
      <c r="D40" s="106" t="s">
        <v>68</v>
      </c>
      <c r="E40" s="106"/>
      <c r="F40" s="108"/>
      <c r="G40" s="108"/>
      <c r="H40" s="108"/>
      <c r="I40" s="108"/>
      <c r="J40" s="108"/>
      <c r="K40" s="109">
        <v>1</v>
      </c>
      <c r="L40" s="109">
        <f>M47</f>
        <v>8273.0400000000009</v>
      </c>
      <c r="M40" s="109">
        <f t="shared" ref="M40:M41" si="1">SUM(K40:L40)</f>
        <v>8274.0400000000009</v>
      </c>
    </row>
    <row r="41" spans="1:13" ht="15.75" thickBot="1" x14ac:dyDescent="0.3">
      <c r="A41" s="103"/>
      <c r="B41" s="112" t="s">
        <v>20</v>
      </c>
      <c r="C41" s="113" t="s">
        <v>19</v>
      </c>
      <c r="D41" s="114" t="s">
        <v>69</v>
      </c>
      <c r="E41" s="114"/>
      <c r="F41" s="115"/>
      <c r="G41" s="115"/>
      <c r="H41" s="115"/>
      <c r="I41" s="115"/>
      <c r="J41" s="115"/>
      <c r="K41" s="109">
        <v>2</v>
      </c>
      <c r="L41" s="109">
        <f>M48</f>
        <v>2895.77</v>
      </c>
      <c r="M41" s="109">
        <f t="shared" si="1"/>
        <v>2897.77</v>
      </c>
    </row>
    <row r="42" spans="1:13" ht="15.75" thickBot="1" x14ac:dyDescent="0.3">
      <c r="A42" s="116"/>
      <c r="B42" s="33"/>
      <c r="C42" s="117"/>
      <c r="D42" s="100"/>
      <c r="E42" s="100"/>
      <c r="F42" s="118"/>
      <c r="G42" s="118"/>
      <c r="H42" s="118"/>
      <c r="I42" s="118"/>
      <c r="J42" s="118"/>
      <c r="K42" s="56">
        <f>SUM(K39:K41)</f>
        <v>3</v>
      </c>
      <c r="L42" s="56">
        <f>SUM(L39:L41)</f>
        <v>11175.310000000001</v>
      </c>
      <c r="M42" s="119">
        <f>SUM(K42:L42)</f>
        <v>11178.310000000001</v>
      </c>
    </row>
    <row r="43" spans="1:13" x14ac:dyDescent="0.25">
      <c r="A43" s="120"/>
      <c r="B43" s="39"/>
      <c r="C43" s="121">
        <v>55</v>
      </c>
      <c r="D43" s="39"/>
      <c r="E43" s="39"/>
      <c r="F43" s="122"/>
      <c r="G43" s="122"/>
      <c r="H43" s="122"/>
      <c r="I43" s="122"/>
      <c r="J43" s="122"/>
      <c r="K43" s="123">
        <v>264.10000000000002</v>
      </c>
      <c r="L43" s="123">
        <f>M70</f>
        <v>62204.609999999993</v>
      </c>
      <c r="M43" s="124">
        <f>SUM(K43:L43)</f>
        <v>62468.709999999992</v>
      </c>
    </row>
    <row r="44" spans="1:13" ht="15.75" x14ac:dyDescent="0.25">
      <c r="A44" s="4" t="s">
        <v>70</v>
      </c>
      <c r="B44" s="4"/>
      <c r="C44" s="4"/>
      <c r="D44" s="2"/>
      <c r="E44" s="2"/>
      <c r="F44" s="21"/>
      <c r="G44" s="4" t="s">
        <v>2</v>
      </c>
      <c r="H44" s="21"/>
      <c r="I44" s="125" t="s">
        <v>6</v>
      </c>
      <c r="J44" s="21"/>
      <c r="K44" s="21"/>
      <c r="L44" s="21"/>
      <c r="M44" s="21"/>
    </row>
    <row r="45" spans="1:13" ht="39" x14ac:dyDescent="0.25">
      <c r="A45" s="179" t="s">
        <v>7</v>
      </c>
      <c r="B45" s="180" t="s">
        <v>8</v>
      </c>
      <c r="C45" s="7" t="s">
        <v>9</v>
      </c>
      <c r="D45" s="127" t="s">
        <v>71</v>
      </c>
      <c r="E45" s="8" t="s">
        <v>10</v>
      </c>
      <c r="F45" s="127" t="s">
        <v>72</v>
      </c>
      <c r="G45" s="127" t="s">
        <v>73</v>
      </c>
      <c r="H45" s="7" t="s">
        <v>74</v>
      </c>
      <c r="I45" s="7" t="s">
        <v>12</v>
      </c>
      <c r="J45" s="7" t="s">
        <v>13</v>
      </c>
      <c r="K45" s="7" t="s">
        <v>75</v>
      </c>
      <c r="L45" s="128" t="s">
        <v>76</v>
      </c>
      <c r="M45" s="129" t="s">
        <v>15</v>
      </c>
    </row>
    <row r="46" spans="1:13" ht="15.75" x14ac:dyDescent="0.25">
      <c r="A46" s="19">
        <v>50</v>
      </c>
      <c r="B46" s="130" t="s">
        <v>16</v>
      </c>
      <c r="C46" s="131">
        <f>'[1]52 001'!D122</f>
        <v>1.2</v>
      </c>
      <c r="D46" s="132">
        <f>'[1]52 002'!D57</f>
        <v>4.0999999999999996</v>
      </c>
      <c r="E46" s="132"/>
      <c r="F46" s="132"/>
      <c r="G46" s="132"/>
      <c r="H46" s="132"/>
      <c r="I46" s="132">
        <f>'[1]52 008'!D55</f>
        <v>1.2</v>
      </c>
      <c r="J46" s="132"/>
      <c r="K46" s="17"/>
      <c r="L46" s="132"/>
      <c r="M46" s="133">
        <f>SUM(C46:L46)</f>
        <v>6.5</v>
      </c>
    </row>
    <row r="47" spans="1:13" ht="15.75" x14ac:dyDescent="0.25">
      <c r="A47" s="19" t="s">
        <v>17</v>
      </c>
      <c r="B47" s="134" t="s">
        <v>18</v>
      </c>
      <c r="C47" s="131">
        <f>'[1]52 001'!D129</f>
        <v>198.98000000000002</v>
      </c>
      <c r="D47" s="13">
        <f>'[1]52 002'!D66</f>
        <v>510.28999999999996</v>
      </c>
      <c r="E47" s="13">
        <f>'[1]52 003 '!D208</f>
        <v>182.36999999999998</v>
      </c>
      <c r="F47" s="13">
        <f>'[1]52 005'!D487</f>
        <v>5761.01</v>
      </c>
      <c r="G47" s="13">
        <f>'[1]52 006'!D64</f>
        <v>610.87</v>
      </c>
      <c r="H47" s="13">
        <f>'[1]52 007'!D41</f>
        <v>239.67999999999998</v>
      </c>
      <c r="I47" s="13">
        <f>'[1]52 008'!D62</f>
        <v>769.83999999999992</v>
      </c>
      <c r="J47" s="13"/>
      <c r="K47" s="45"/>
      <c r="L47" s="13"/>
      <c r="M47" s="29">
        <f>SUM(C47:L47)</f>
        <v>8273.0400000000009</v>
      </c>
    </row>
    <row r="48" spans="1:13" ht="16.5" thickBot="1" x14ac:dyDescent="0.3">
      <c r="A48" s="135" t="s">
        <v>19</v>
      </c>
      <c r="B48" s="136" t="s">
        <v>20</v>
      </c>
      <c r="C48" s="131">
        <f>'[1]52 001'!D133</f>
        <v>218.59</v>
      </c>
      <c r="D48" s="13"/>
      <c r="E48" s="13">
        <f>'[1]52 003 '!D212</f>
        <v>299.2</v>
      </c>
      <c r="F48" s="13">
        <f>'[1]52 005'!D491</f>
        <v>2027.84</v>
      </c>
      <c r="G48" s="13">
        <f>'[1]52 006'!D69</f>
        <v>306.62</v>
      </c>
      <c r="H48" s="13"/>
      <c r="I48" s="13">
        <f>'[1]52 008'!D66</f>
        <v>43.52</v>
      </c>
      <c r="J48" s="13"/>
      <c r="K48" s="86"/>
      <c r="L48" s="13"/>
      <c r="M48" s="29">
        <f>SUM(C48:L48)</f>
        <v>2895.77</v>
      </c>
    </row>
    <row r="49" spans="1:13" ht="16.5" thickBot="1" x14ac:dyDescent="0.3">
      <c r="A49" s="26"/>
      <c r="B49" s="137"/>
      <c r="C49" s="84">
        <f>SUM(C46:C48)</f>
        <v>418.77</v>
      </c>
      <c r="D49" s="84">
        <f t="shared" ref="D49:J49" si="2">SUM(D46:D48)</f>
        <v>514.39</v>
      </c>
      <c r="E49" s="84">
        <f t="shared" si="2"/>
        <v>481.56999999999994</v>
      </c>
      <c r="F49" s="84">
        <f t="shared" si="2"/>
        <v>7788.85</v>
      </c>
      <c r="G49" s="84">
        <f t="shared" si="2"/>
        <v>917.49</v>
      </c>
      <c r="H49" s="84">
        <f t="shared" si="2"/>
        <v>239.67999999999998</v>
      </c>
      <c r="I49" s="84">
        <f t="shared" si="2"/>
        <v>814.56</v>
      </c>
      <c r="J49" s="84">
        <f t="shared" si="2"/>
        <v>0</v>
      </c>
      <c r="K49" s="84">
        <f>SUM(K46:K48)</f>
        <v>0</v>
      </c>
      <c r="L49" s="138">
        <f>SUM(L46:L48)</f>
        <v>0</v>
      </c>
      <c r="M49" s="139">
        <f>SUM(M46:M48)</f>
        <v>11175.310000000001</v>
      </c>
    </row>
    <row r="50" spans="1:13" ht="16.5" thickBot="1" x14ac:dyDescent="0.3">
      <c r="A50" s="181" t="s">
        <v>21</v>
      </c>
      <c r="B50" s="35"/>
      <c r="C50" s="140"/>
      <c r="D50" s="35"/>
      <c r="E50" s="35"/>
      <c r="F50" s="35"/>
      <c r="G50" s="35"/>
      <c r="H50" s="35"/>
      <c r="I50" s="35"/>
      <c r="J50" s="35"/>
      <c r="K50" s="34"/>
      <c r="L50" s="35"/>
      <c r="M50" s="141">
        <f>SUM(C49:L49)</f>
        <v>11175.31</v>
      </c>
    </row>
    <row r="51" spans="1:13" ht="15.75" x14ac:dyDescent="0.25">
      <c r="A51" s="51">
        <v>5500</v>
      </c>
      <c r="B51" s="42" t="s">
        <v>22</v>
      </c>
      <c r="C51" s="13">
        <f>'[1]52 001'!D158</f>
        <v>1300.2</v>
      </c>
      <c r="D51" s="142">
        <f>'[1]52 002'!D70</f>
        <v>188.49</v>
      </c>
      <c r="E51" s="13">
        <f>'[1]52 003 '!D215</f>
        <v>0.61</v>
      </c>
      <c r="F51" s="142">
        <f>'[1]52 005'!D496</f>
        <v>49.65</v>
      </c>
      <c r="G51" s="13"/>
      <c r="H51" s="142">
        <f>'[1]52 007'!D45</f>
        <v>61.879999999999995</v>
      </c>
      <c r="I51" s="13">
        <f>'[1]52 008'!D74</f>
        <v>61.349999999999994</v>
      </c>
      <c r="J51" s="142">
        <f>'[1]52 009'!D10</f>
        <v>242.02</v>
      </c>
      <c r="K51" s="45"/>
      <c r="L51" s="45"/>
      <c r="M51" s="29">
        <f t="shared" ref="M51:M69" si="3">SUM(C51:L51)</f>
        <v>1904.1999999999998</v>
      </c>
    </row>
    <row r="52" spans="1:13" ht="15.75" x14ac:dyDescent="0.25">
      <c r="A52" s="51">
        <v>5502</v>
      </c>
      <c r="B52" s="42" t="s">
        <v>25</v>
      </c>
      <c r="C52" s="13"/>
      <c r="D52" s="142"/>
      <c r="E52" s="13"/>
      <c r="F52" s="142"/>
      <c r="G52" s="13"/>
      <c r="H52" s="142"/>
      <c r="I52" s="13"/>
      <c r="J52" s="142"/>
      <c r="K52" s="45"/>
      <c r="L52" s="45"/>
      <c r="M52" s="29">
        <f t="shared" si="3"/>
        <v>0</v>
      </c>
    </row>
    <row r="53" spans="1:13" ht="15.75" x14ac:dyDescent="0.25">
      <c r="A53" s="51">
        <v>5503</v>
      </c>
      <c r="B53" s="42" t="s">
        <v>29</v>
      </c>
      <c r="C53" s="13">
        <f>'[1]52 001'!D162</f>
        <v>65.150000000000006</v>
      </c>
      <c r="D53" s="142"/>
      <c r="E53" s="13"/>
      <c r="F53" s="142"/>
      <c r="G53" s="13"/>
      <c r="H53" s="142"/>
      <c r="I53" s="13">
        <f>'[1]52 008'!D77</f>
        <v>27.31</v>
      </c>
      <c r="J53" s="142">
        <f>'[1]52 009'!D13</f>
        <v>19.5</v>
      </c>
      <c r="K53" s="45"/>
      <c r="L53" s="45"/>
      <c r="M53" s="29">
        <f t="shared" si="3"/>
        <v>111.96000000000001</v>
      </c>
    </row>
    <row r="54" spans="1:13" ht="15.75" x14ac:dyDescent="0.25">
      <c r="A54" s="51">
        <v>5504</v>
      </c>
      <c r="B54" s="42" t="s">
        <v>32</v>
      </c>
      <c r="C54" s="13">
        <f>'[1]52 001'!D166</f>
        <v>444.7</v>
      </c>
      <c r="D54" s="142"/>
      <c r="E54" s="13"/>
      <c r="F54" s="142"/>
      <c r="G54" s="13"/>
      <c r="H54" s="142"/>
      <c r="I54" s="13">
        <f>'[1]52 008'!D81</f>
        <v>38.81</v>
      </c>
      <c r="J54" s="142">
        <f>'[1]52 009'!D16</f>
        <v>190.8</v>
      </c>
      <c r="K54" s="45"/>
      <c r="L54" s="45"/>
      <c r="M54" s="29">
        <f t="shared" si="3"/>
        <v>674.31</v>
      </c>
    </row>
    <row r="55" spans="1:13" ht="15.75" x14ac:dyDescent="0.25">
      <c r="A55" s="51">
        <v>5511</v>
      </c>
      <c r="B55" s="42" t="s">
        <v>34</v>
      </c>
      <c r="C55" s="13">
        <f>'[1]52 001'!D193</f>
        <v>12516.890000000001</v>
      </c>
      <c r="D55" s="142"/>
      <c r="E55" s="13">
        <f>'[1]52 003 '!D220</f>
        <v>318.52</v>
      </c>
      <c r="F55" s="142">
        <f>'[1]52 005'!D510</f>
        <v>3822.39</v>
      </c>
      <c r="G55" s="13">
        <f>'[1]52 006'!D83</f>
        <v>2058.1999999999998</v>
      </c>
      <c r="H55" s="142"/>
      <c r="I55" s="13">
        <f>'[1]52 008'!D86</f>
        <v>74.260000000000005</v>
      </c>
      <c r="J55" s="142"/>
      <c r="K55" s="45"/>
      <c r="L55" s="45"/>
      <c r="M55" s="29">
        <f t="shared" si="3"/>
        <v>18790.260000000002</v>
      </c>
    </row>
    <row r="56" spans="1:13" ht="15.75" x14ac:dyDescent="0.25">
      <c r="A56" s="51">
        <v>5512</v>
      </c>
      <c r="B56" s="42" t="s">
        <v>36</v>
      </c>
      <c r="C56" s="13">
        <f>'[1]52 001'!D197</f>
        <v>303.52</v>
      </c>
      <c r="D56" s="142"/>
      <c r="E56" s="13"/>
      <c r="F56" s="142"/>
      <c r="G56" s="13"/>
      <c r="H56" s="142"/>
      <c r="I56" s="13"/>
      <c r="J56" s="142"/>
      <c r="K56" s="45"/>
      <c r="L56" s="45"/>
      <c r="M56" s="29">
        <f t="shared" si="3"/>
        <v>303.52</v>
      </c>
    </row>
    <row r="57" spans="1:13" ht="15.75" x14ac:dyDescent="0.25">
      <c r="A57" s="51">
        <v>5513</v>
      </c>
      <c r="B57" s="42" t="s">
        <v>38</v>
      </c>
      <c r="C57" s="13">
        <f>'[1]52 001'!D213</f>
        <v>880.20999999999981</v>
      </c>
      <c r="D57" s="142">
        <f>'[1]52 002'!D76</f>
        <v>338.69</v>
      </c>
      <c r="E57" s="13">
        <f>'[1]52 003 '!D227</f>
        <v>962.18000000000006</v>
      </c>
      <c r="F57" s="142">
        <f>'[1]52 005'!D513</f>
        <v>47.7</v>
      </c>
      <c r="G57" s="13"/>
      <c r="H57" s="142"/>
      <c r="I57" s="13"/>
      <c r="J57" s="142">
        <f>'[1]52 009'!D19</f>
        <v>37.049999999999997</v>
      </c>
      <c r="K57" s="45"/>
      <c r="L57" s="45"/>
      <c r="M57" s="29">
        <f t="shared" si="3"/>
        <v>2265.83</v>
      </c>
    </row>
    <row r="58" spans="1:13" ht="15.75" x14ac:dyDescent="0.25">
      <c r="A58" s="51">
        <v>5514</v>
      </c>
      <c r="B58" s="42" t="s">
        <v>40</v>
      </c>
      <c r="C58" s="13">
        <f>'[1]52 001'!D224</f>
        <v>2140.3000000000002</v>
      </c>
      <c r="D58" s="142"/>
      <c r="E58" s="13">
        <f>'[1]52 003 '!D230</f>
        <v>26.16</v>
      </c>
      <c r="F58" s="142"/>
      <c r="G58" s="13">
        <f>'[1]52 006'!D86</f>
        <v>125.41</v>
      </c>
      <c r="H58" s="142"/>
      <c r="I58" s="13"/>
      <c r="J58" s="142"/>
      <c r="K58" s="16">
        <f>'[1]52 139'!D5</f>
        <v>2075</v>
      </c>
      <c r="L58" s="45"/>
      <c r="M58" s="29">
        <f t="shared" si="3"/>
        <v>4366.87</v>
      </c>
    </row>
    <row r="59" spans="1:13" ht="15.75" x14ac:dyDescent="0.25">
      <c r="A59" s="51">
        <v>5515</v>
      </c>
      <c r="B59" s="42" t="s">
        <v>42</v>
      </c>
      <c r="C59" s="13">
        <f>'[1]52 001'!D235</f>
        <v>815.25999999999988</v>
      </c>
      <c r="D59" s="142">
        <f>'[1]52 002'!D82</f>
        <v>185.54000000000002</v>
      </c>
      <c r="E59" s="13">
        <f>'[1]52 003 '!D237</f>
        <v>510.90999999999997</v>
      </c>
      <c r="F59" s="142">
        <f>'[1]52 005'!D520</f>
        <v>240.03000000000003</v>
      </c>
      <c r="G59" s="13">
        <f>'[1]52 006'!D93</f>
        <v>807.14</v>
      </c>
      <c r="H59" s="142">
        <f>'[1]52 007'!D48</f>
        <v>65.09</v>
      </c>
      <c r="I59" s="13"/>
      <c r="J59" s="142"/>
      <c r="K59" s="45"/>
      <c r="L59" s="45"/>
      <c r="M59" s="29">
        <f t="shared" si="3"/>
        <v>2623.9700000000003</v>
      </c>
    </row>
    <row r="60" spans="1:13" ht="15.75" x14ac:dyDescent="0.25">
      <c r="A60" s="51">
        <v>5516</v>
      </c>
      <c r="B60" s="42" t="s">
        <v>43</v>
      </c>
      <c r="C60" s="13">
        <f>'[1]52 001'!D239</f>
        <v>690.72</v>
      </c>
      <c r="D60" s="142"/>
      <c r="E60" s="13">
        <f>'[1]52 003 '!D240</f>
        <v>109.85</v>
      </c>
      <c r="F60" s="142"/>
      <c r="G60" s="13"/>
      <c r="H60" s="142"/>
      <c r="I60" s="13"/>
      <c r="J60" s="142"/>
      <c r="K60" s="45"/>
      <c r="L60" s="45"/>
      <c r="M60" s="29">
        <f t="shared" si="3"/>
        <v>800.57</v>
      </c>
    </row>
    <row r="61" spans="1:13" ht="15.75" x14ac:dyDescent="0.25">
      <c r="A61" s="51">
        <v>5521</v>
      </c>
      <c r="B61" s="42" t="s">
        <v>44</v>
      </c>
      <c r="C61" s="13"/>
      <c r="D61" s="142"/>
      <c r="E61" s="13">
        <f>'[1]52 003 '!D352</f>
        <v>20831.669999999995</v>
      </c>
      <c r="F61" s="142"/>
      <c r="G61" s="13"/>
      <c r="H61" s="142"/>
      <c r="I61" s="13"/>
      <c r="J61" s="142"/>
      <c r="K61" s="45"/>
      <c r="L61" s="45"/>
      <c r="M61" s="29">
        <f t="shared" si="3"/>
        <v>20831.669999999995</v>
      </c>
    </row>
    <row r="62" spans="1:13" ht="15.75" x14ac:dyDescent="0.25">
      <c r="A62" s="51">
        <v>5522</v>
      </c>
      <c r="B62" s="15" t="s">
        <v>45</v>
      </c>
      <c r="C62" s="13">
        <f>'[1]52 001'!D250</f>
        <v>780.24</v>
      </c>
      <c r="D62" s="142">
        <f>'[1]52 002'!D86</f>
        <v>83.84</v>
      </c>
      <c r="E62" s="13">
        <f>'[1]52 003 '!D358</f>
        <v>662.15000000000009</v>
      </c>
      <c r="F62" s="142">
        <f>'[1]52 005'!D525</f>
        <v>107.22</v>
      </c>
      <c r="G62" s="13">
        <f>'[1]52 006'!D97</f>
        <v>46.94</v>
      </c>
      <c r="H62" s="142"/>
      <c r="I62" s="13">
        <f>'[1]52 008'!D94</f>
        <v>406.59000000000003</v>
      </c>
      <c r="J62" s="142"/>
      <c r="K62" s="45"/>
      <c r="L62" s="45"/>
      <c r="M62" s="29">
        <f t="shared" si="3"/>
        <v>2086.98</v>
      </c>
    </row>
    <row r="63" spans="1:13" ht="15.75" x14ac:dyDescent="0.25">
      <c r="A63" s="51">
        <v>5524</v>
      </c>
      <c r="B63" s="42" t="s">
        <v>47</v>
      </c>
      <c r="C63" s="13">
        <f>'[1]52 001'!D253</f>
        <v>50</v>
      </c>
      <c r="D63" s="142"/>
      <c r="E63" s="13"/>
      <c r="F63" s="142"/>
      <c r="G63" s="13"/>
      <c r="H63" s="142"/>
      <c r="I63" s="13">
        <f>'[1]52 008'!D112</f>
        <v>2579.84</v>
      </c>
      <c r="J63" s="142"/>
      <c r="K63" s="45"/>
      <c r="L63" s="45"/>
      <c r="M63" s="29">
        <f t="shared" si="3"/>
        <v>2629.84</v>
      </c>
    </row>
    <row r="64" spans="1:13" ht="15.75" x14ac:dyDescent="0.25">
      <c r="A64" s="51">
        <v>5525</v>
      </c>
      <c r="B64" s="42" t="s">
        <v>48</v>
      </c>
      <c r="C64" s="13"/>
      <c r="D64" s="142"/>
      <c r="E64" s="13"/>
      <c r="F64" s="142"/>
      <c r="G64" s="13"/>
      <c r="H64" s="142"/>
      <c r="I64" s="13"/>
      <c r="J64" s="142"/>
      <c r="K64" s="45"/>
      <c r="L64" s="45"/>
      <c r="M64" s="29">
        <f t="shared" si="3"/>
        <v>0</v>
      </c>
    </row>
    <row r="65" spans="1:13" ht="15.75" x14ac:dyDescent="0.25">
      <c r="A65" s="51">
        <v>5532</v>
      </c>
      <c r="B65" s="42" t="s">
        <v>49</v>
      </c>
      <c r="C65" s="13"/>
      <c r="D65" s="142"/>
      <c r="E65" s="13">
        <f>'[1]52 003 '!D362</f>
        <v>258.41000000000003</v>
      </c>
      <c r="F65" s="142"/>
      <c r="G65" s="13"/>
      <c r="H65" s="142"/>
      <c r="I65" s="13">
        <f>'[1]52 008'!D115</f>
        <v>327.94</v>
      </c>
      <c r="J65" s="142"/>
      <c r="K65" s="45"/>
      <c r="L65" s="45"/>
      <c r="M65" s="29">
        <f t="shared" si="3"/>
        <v>586.35</v>
      </c>
    </row>
    <row r="66" spans="1:13" ht="15.75" x14ac:dyDescent="0.25">
      <c r="A66" s="51">
        <v>5540</v>
      </c>
      <c r="B66" s="42" t="s">
        <v>52</v>
      </c>
      <c r="C66" s="13"/>
      <c r="D66" s="142">
        <f>'[1]52 002'!D90</f>
        <v>57.19</v>
      </c>
      <c r="E66" s="13">
        <f>'[1]52 003 '!D366</f>
        <v>73.8</v>
      </c>
      <c r="F66" s="142"/>
      <c r="G66" s="13"/>
      <c r="H66" s="142"/>
      <c r="I66" s="13">
        <f>'[1]52 008'!D118</f>
        <v>11.65</v>
      </c>
      <c r="J66" s="142"/>
      <c r="K66" s="45"/>
      <c r="L66" s="45"/>
      <c r="M66" s="29">
        <f t="shared" si="3"/>
        <v>142.64000000000001</v>
      </c>
    </row>
    <row r="67" spans="1:13" ht="15.75" x14ac:dyDescent="0.25">
      <c r="A67" s="51">
        <v>4528</v>
      </c>
      <c r="B67" s="42" t="s">
        <v>53</v>
      </c>
      <c r="C67" s="13">
        <f>'[1]52 001'!D136</f>
        <v>53</v>
      </c>
      <c r="D67" s="142"/>
      <c r="E67" s="13"/>
      <c r="F67" s="142"/>
      <c r="G67" s="13"/>
      <c r="H67" s="142"/>
      <c r="I67" s="13"/>
      <c r="J67" s="142"/>
      <c r="K67" s="45"/>
      <c r="L67" s="45"/>
      <c r="M67" s="29">
        <f t="shared" si="3"/>
        <v>53</v>
      </c>
    </row>
    <row r="68" spans="1:13" ht="15.75" x14ac:dyDescent="0.25">
      <c r="A68" s="51">
        <v>6010</v>
      </c>
      <c r="B68" s="15" t="s">
        <v>54</v>
      </c>
      <c r="C68" s="13"/>
      <c r="D68" s="142"/>
      <c r="E68" s="13"/>
      <c r="F68" s="142"/>
      <c r="G68" s="13"/>
      <c r="H68" s="142"/>
      <c r="I68" s="13"/>
      <c r="J68" s="142"/>
      <c r="K68" s="45"/>
      <c r="L68" s="45"/>
      <c r="M68" s="29">
        <f t="shared" si="3"/>
        <v>0</v>
      </c>
    </row>
    <row r="69" spans="1:13" ht="15.75" x14ac:dyDescent="0.25">
      <c r="A69" s="143" t="s">
        <v>77</v>
      </c>
      <c r="B69" s="144" t="s">
        <v>78</v>
      </c>
      <c r="C69" s="145"/>
      <c r="D69" s="142"/>
      <c r="E69" s="146"/>
      <c r="F69" s="142"/>
      <c r="G69" s="146"/>
      <c r="H69" s="142"/>
      <c r="I69" s="146"/>
      <c r="J69" s="142"/>
      <c r="K69" s="86"/>
      <c r="L69" s="25">
        <f>[1]KM!D6</f>
        <v>4032.64</v>
      </c>
      <c r="M69" s="147">
        <f t="shared" si="3"/>
        <v>4032.64</v>
      </c>
    </row>
    <row r="70" spans="1:13" ht="15.75" x14ac:dyDescent="0.25">
      <c r="A70" s="86"/>
      <c r="B70" s="86"/>
      <c r="C70" s="84">
        <f t="shared" ref="C70:M70" si="4">SUM(C51:C69)</f>
        <v>20040.190000000002</v>
      </c>
      <c r="D70" s="84">
        <f t="shared" si="4"/>
        <v>853.75</v>
      </c>
      <c r="E70" s="84">
        <f t="shared" si="4"/>
        <v>23754.259999999995</v>
      </c>
      <c r="F70" s="84">
        <f t="shared" si="4"/>
        <v>4266.99</v>
      </c>
      <c r="G70" s="84">
        <f t="shared" si="4"/>
        <v>3037.6899999999996</v>
      </c>
      <c r="H70" s="84">
        <f t="shared" si="4"/>
        <v>126.97</v>
      </c>
      <c r="I70" s="84">
        <f t="shared" si="4"/>
        <v>3527.7500000000005</v>
      </c>
      <c r="J70" s="84">
        <f t="shared" si="4"/>
        <v>489.37</v>
      </c>
      <c r="K70" s="84">
        <f t="shared" si="4"/>
        <v>2075</v>
      </c>
      <c r="L70" s="84">
        <f t="shared" si="4"/>
        <v>4032.64</v>
      </c>
      <c r="M70" s="147">
        <f t="shared" si="4"/>
        <v>62204.609999999993</v>
      </c>
    </row>
    <row r="71" spans="1:13" ht="15.75" x14ac:dyDescent="0.25">
      <c r="A71" s="148" t="s">
        <v>55</v>
      </c>
      <c r="B71" s="149" t="s">
        <v>79</v>
      </c>
      <c r="C71" s="150"/>
      <c r="D71" s="150"/>
      <c r="E71" s="150"/>
      <c r="F71" s="150"/>
      <c r="G71" s="150"/>
      <c r="H71" s="149"/>
      <c r="I71" s="149"/>
      <c r="J71" s="149"/>
      <c r="K71" s="149"/>
      <c r="L71" s="150"/>
      <c r="M71" s="28">
        <f>SUM(C70:L70)</f>
        <v>62204.61</v>
      </c>
    </row>
  </sheetData>
  <printOptions gridLines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topLeftCell="C1" zoomScale="90" zoomScaleNormal="90" workbookViewId="0">
      <selection activeCell="W70" sqref="W70"/>
    </sheetView>
  </sheetViews>
  <sheetFormatPr defaultRowHeight="15.75" x14ac:dyDescent="0.25"/>
  <cols>
    <col min="1" max="1" width="10.28515625" customWidth="1"/>
    <col min="2" max="2" width="15.85546875" customWidth="1"/>
    <col min="3" max="3" width="11.85546875" customWidth="1"/>
    <col min="4" max="4" width="13" customWidth="1"/>
    <col min="5" max="5" width="12.28515625" customWidth="1"/>
    <col min="6" max="6" width="12" customWidth="1"/>
    <col min="7" max="7" width="11.140625" customWidth="1"/>
    <col min="8" max="8" width="10" customWidth="1"/>
    <col min="9" max="9" width="11.42578125" customWidth="1"/>
    <col min="10" max="10" width="10.140625" bestFit="1" customWidth="1"/>
    <col min="11" max="11" width="13" customWidth="1"/>
    <col min="12" max="12" width="13.42578125" style="168" customWidth="1"/>
    <col min="13" max="13" width="13" style="168" customWidth="1"/>
    <col min="14" max="14" width="14" style="168" customWidth="1"/>
    <col min="15" max="15" width="13.42578125" style="168" customWidth="1"/>
    <col min="16" max="16" width="12.28515625" style="189" customWidth="1"/>
    <col min="17" max="17" width="11.140625" customWidth="1"/>
    <col min="18" max="18" width="9.85546875" customWidth="1"/>
    <col min="19" max="19" width="16" customWidth="1"/>
    <col min="20" max="20" width="14.28515625" style="193" customWidth="1"/>
    <col min="21" max="21" width="13.85546875" style="193" customWidth="1"/>
    <col min="22" max="22" width="12.5703125" style="193" customWidth="1"/>
    <col min="23" max="23" width="11" style="193" bestFit="1" customWidth="1"/>
    <col min="24" max="24" width="9.140625" style="193"/>
    <col min="25" max="25" width="10" style="193" customWidth="1"/>
    <col min="26" max="26" width="19.140625" style="193" customWidth="1"/>
    <col min="27" max="28" width="13.140625" customWidth="1"/>
    <col min="29" max="29" width="12.28515625" customWidth="1"/>
    <col min="30" max="30" width="10.42578125" customWidth="1"/>
  </cols>
  <sheetData>
    <row r="1" spans="1:31" ht="18.75" x14ac:dyDescent="0.3">
      <c r="A1" s="243"/>
      <c r="B1" s="244"/>
      <c r="C1" s="245" t="s">
        <v>81</v>
      </c>
      <c r="D1" s="244"/>
      <c r="E1" s="244"/>
      <c r="F1" s="244"/>
      <c r="G1" s="244"/>
      <c r="H1" s="244"/>
      <c r="I1" s="246"/>
      <c r="J1" s="244"/>
      <c r="K1" s="244"/>
      <c r="L1" s="247"/>
      <c r="M1" s="247"/>
      <c r="N1" s="247"/>
      <c r="O1" s="247"/>
      <c r="P1" s="248"/>
      <c r="Q1" s="249"/>
      <c r="R1" s="243"/>
      <c r="S1" s="244"/>
      <c r="T1" s="310"/>
      <c r="U1" s="310"/>
      <c r="V1" s="310"/>
      <c r="W1" s="310"/>
      <c r="X1" s="310"/>
      <c r="Y1" s="310"/>
      <c r="Z1" s="310"/>
      <c r="AA1" s="244"/>
      <c r="AB1" s="244"/>
      <c r="AC1" s="244"/>
      <c r="AD1" s="244"/>
      <c r="AE1" s="249"/>
    </row>
    <row r="2" spans="1:31" x14ac:dyDescent="0.25">
      <c r="A2" s="250"/>
      <c r="B2" s="140"/>
      <c r="C2" s="140"/>
      <c r="D2" s="140"/>
      <c r="E2" s="140"/>
      <c r="F2" s="140"/>
      <c r="G2" s="140"/>
      <c r="H2" s="140"/>
      <c r="I2" s="34"/>
      <c r="J2" s="140"/>
      <c r="K2" s="140"/>
      <c r="L2" s="205"/>
      <c r="M2" s="205"/>
      <c r="N2" s="205"/>
      <c r="O2" s="205"/>
      <c r="P2" s="251"/>
      <c r="Q2" s="252"/>
      <c r="R2" s="250"/>
      <c r="S2" s="140"/>
      <c r="T2" s="311"/>
      <c r="U2" s="311"/>
      <c r="V2" s="311"/>
      <c r="W2" s="311"/>
      <c r="X2" s="311"/>
      <c r="Y2" s="311"/>
      <c r="Z2" s="311"/>
      <c r="AA2" s="140"/>
      <c r="AB2" s="140"/>
      <c r="AC2" s="140"/>
      <c r="AD2" s="140"/>
      <c r="AE2" s="252"/>
    </row>
    <row r="3" spans="1:31" x14ac:dyDescent="0.25">
      <c r="A3" s="250"/>
      <c r="B3" s="140"/>
      <c r="C3" s="140"/>
      <c r="D3" s="212" t="s">
        <v>1</v>
      </c>
      <c r="E3" s="140"/>
      <c r="F3" s="204" t="s">
        <v>2</v>
      </c>
      <c r="G3" s="140"/>
      <c r="H3" s="205"/>
      <c r="I3" s="34"/>
      <c r="J3" s="205"/>
      <c r="K3" s="205"/>
      <c r="L3" s="205"/>
      <c r="M3" s="205"/>
      <c r="N3" s="205"/>
      <c r="O3" s="205"/>
      <c r="P3" s="251"/>
      <c r="Q3" s="252"/>
      <c r="R3" s="250"/>
      <c r="S3" s="140"/>
      <c r="T3" s="311"/>
      <c r="U3" s="311"/>
      <c r="V3" s="311"/>
      <c r="W3" s="311"/>
      <c r="X3" s="311"/>
      <c r="Y3" s="311"/>
      <c r="Z3" s="311"/>
      <c r="AA3" s="140"/>
      <c r="AB3" s="140"/>
      <c r="AC3" s="140"/>
      <c r="AD3" s="140"/>
      <c r="AE3" s="252"/>
    </row>
    <row r="4" spans="1:31" x14ac:dyDescent="0.25">
      <c r="A4" s="213" t="s">
        <v>3</v>
      </c>
      <c r="B4" s="204"/>
      <c r="C4" s="140"/>
      <c r="D4" s="125" t="s">
        <v>4</v>
      </c>
      <c r="E4" s="140"/>
      <c r="F4" s="125"/>
      <c r="G4" s="125" t="s">
        <v>5</v>
      </c>
      <c r="H4" s="205"/>
      <c r="I4" s="205"/>
      <c r="J4" s="125" t="s">
        <v>88</v>
      </c>
      <c r="K4" s="34"/>
      <c r="L4" s="205"/>
      <c r="M4" s="205"/>
      <c r="N4" s="205"/>
      <c r="O4" s="205"/>
      <c r="P4" s="251"/>
      <c r="Q4" s="252"/>
      <c r="R4" s="213" t="s">
        <v>3</v>
      </c>
      <c r="S4" s="204"/>
      <c r="T4" s="311"/>
      <c r="U4" s="125" t="s">
        <v>5</v>
      </c>
      <c r="V4" s="311"/>
      <c r="W4" s="125" t="s">
        <v>88</v>
      </c>
      <c r="X4" s="311"/>
      <c r="Y4" s="311"/>
      <c r="Z4" s="311"/>
      <c r="AA4" s="140"/>
      <c r="AB4" s="140"/>
      <c r="AC4" s="140"/>
      <c r="AD4" s="140"/>
      <c r="AE4" s="252"/>
    </row>
    <row r="5" spans="1:31" ht="51.75" x14ac:dyDescent="0.25">
      <c r="A5" s="253" t="s">
        <v>7</v>
      </c>
      <c r="B5" s="6" t="s">
        <v>8</v>
      </c>
      <c r="C5" s="165" t="s">
        <v>90</v>
      </c>
      <c r="D5" s="7" t="s">
        <v>9</v>
      </c>
      <c r="E5" s="8" t="s">
        <v>10</v>
      </c>
      <c r="F5" s="7" t="s">
        <v>11</v>
      </c>
      <c r="G5" s="7" t="s">
        <v>12</v>
      </c>
      <c r="H5" s="7" t="s">
        <v>13</v>
      </c>
      <c r="I5" s="166" t="s">
        <v>83</v>
      </c>
      <c r="J5" s="167" t="s">
        <v>84</v>
      </c>
      <c r="K5" s="7" t="s">
        <v>14</v>
      </c>
      <c r="L5" s="9" t="s">
        <v>15</v>
      </c>
      <c r="M5" s="205"/>
      <c r="N5" s="205"/>
      <c r="O5" s="205"/>
      <c r="P5" s="205"/>
      <c r="Q5" s="254"/>
      <c r="R5" s="253" t="s">
        <v>7</v>
      </c>
      <c r="S5" s="6" t="s">
        <v>8</v>
      </c>
      <c r="T5" s="194" t="s">
        <v>91</v>
      </c>
      <c r="U5" s="194" t="s">
        <v>92</v>
      </c>
      <c r="V5" s="316" t="s">
        <v>93</v>
      </c>
      <c r="W5" s="194" t="s">
        <v>94</v>
      </c>
      <c r="X5" s="311"/>
      <c r="Y5" s="311"/>
      <c r="Z5" s="311"/>
      <c r="AA5" s="140"/>
      <c r="AB5" s="140"/>
      <c r="AC5" s="140"/>
      <c r="AD5" s="140"/>
      <c r="AE5" s="252"/>
    </row>
    <row r="6" spans="1:31" x14ac:dyDescent="0.25">
      <c r="A6" s="255">
        <v>50</v>
      </c>
      <c r="B6" s="12" t="s">
        <v>16</v>
      </c>
      <c r="C6" s="174">
        <v>2056.21</v>
      </c>
      <c r="D6" s="16">
        <f>134.66</f>
        <v>134.66</v>
      </c>
      <c r="E6" s="14">
        <f>3.04</f>
        <v>3.04</v>
      </c>
      <c r="F6" s="15"/>
      <c r="G6" s="16">
        <f>251.65</f>
        <v>251.65</v>
      </c>
      <c r="H6" s="152">
        <f>21</f>
        <v>21</v>
      </c>
      <c r="I6" s="169"/>
      <c r="J6" s="169"/>
      <c r="K6" s="34"/>
      <c r="L6" s="18">
        <f>SUM(C6:K6)</f>
        <v>2466.56</v>
      </c>
      <c r="M6" s="205"/>
      <c r="N6" s="205"/>
      <c r="O6" s="205"/>
      <c r="P6" s="205"/>
      <c r="Q6" s="254"/>
      <c r="R6" s="255">
        <v>50</v>
      </c>
      <c r="S6" s="12" t="s">
        <v>16</v>
      </c>
      <c r="T6" s="172"/>
      <c r="U6" s="196">
        <v>2466.56</v>
      </c>
      <c r="V6" s="317"/>
      <c r="W6" s="172"/>
      <c r="X6" s="311"/>
      <c r="Y6" s="311"/>
      <c r="Z6" s="311"/>
      <c r="AA6" s="140"/>
      <c r="AB6" s="140"/>
      <c r="AC6" s="140"/>
      <c r="AD6" s="140"/>
      <c r="AE6" s="252"/>
    </row>
    <row r="7" spans="1:31" x14ac:dyDescent="0.25">
      <c r="A7" s="256" t="s">
        <v>17</v>
      </c>
      <c r="B7" s="12" t="s">
        <v>18</v>
      </c>
      <c r="C7" s="175"/>
      <c r="D7" s="16">
        <v>163732.92000000001</v>
      </c>
      <c r="E7" s="20">
        <f>65279.4+8153.79</f>
        <v>73433.19</v>
      </c>
      <c r="F7" s="15"/>
      <c r="G7" s="16">
        <f>581147.02+60363.58</f>
        <v>641510.6</v>
      </c>
      <c r="H7" s="16">
        <f>53776.01+6535.26</f>
        <v>60311.270000000004</v>
      </c>
      <c r="I7" s="170"/>
      <c r="J7" s="170"/>
      <c r="K7" s="161">
        <f>77.31</f>
        <v>77.31</v>
      </c>
      <c r="L7" s="16">
        <f>SUM(D7:K7)</f>
        <v>939065.29</v>
      </c>
      <c r="M7" s="205"/>
      <c r="N7" s="205"/>
      <c r="O7" s="205"/>
      <c r="P7" s="205"/>
      <c r="Q7" s="254"/>
      <c r="R7" s="256" t="s">
        <v>17</v>
      </c>
      <c r="S7" s="12" t="s">
        <v>18</v>
      </c>
      <c r="T7" s="173"/>
      <c r="U7" s="195">
        <v>939065.29</v>
      </c>
      <c r="V7" s="318"/>
      <c r="W7" s="173"/>
      <c r="X7" s="311"/>
      <c r="Y7" s="311"/>
      <c r="Z7" s="311"/>
      <c r="AA7" s="140"/>
      <c r="AB7" s="140"/>
      <c r="AC7" s="140"/>
      <c r="AD7" s="140"/>
      <c r="AE7" s="252"/>
    </row>
    <row r="8" spans="1:31" x14ac:dyDescent="0.25">
      <c r="A8" s="257" t="s">
        <v>19</v>
      </c>
      <c r="B8" s="23" t="s">
        <v>20</v>
      </c>
      <c r="C8" s="177"/>
      <c r="D8" s="16">
        <v>55189.01</v>
      </c>
      <c r="E8" s="20">
        <f>21688.92+2685.32</f>
        <v>24374.239999999998</v>
      </c>
      <c r="F8" s="24"/>
      <c r="G8" s="16">
        <f>195913.99+21521.19</f>
        <v>217435.18</v>
      </c>
      <c r="H8" s="16">
        <f>17981.71+2375</f>
        <v>20356.71</v>
      </c>
      <c r="I8" s="171"/>
      <c r="J8" s="171"/>
      <c r="K8" s="161">
        <f>108.8</f>
        <v>108.8</v>
      </c>
      <c r="L8" s="25">
        <f>SUM(D8:K8)</f>
        <v>317463.94</v>
      </c>
      <c r="M8" s="205"/>
      <c r="N8" s="205"/>
      <c r="O8" s="205"/>
      <c r="P8" s="205"/>
      <c r="Q8" s="254"/>
      <c r="R8" s="257" t="s">
        <v>19</v>
      </c>
      <c r="S8" s="23" t="s">
        <v>20</v>
      </c>
      <c r="T8" s="176"/>
      <c r="U8" s="197">
        <v>317463.94</v>
      </c>
      <c r="V8" s="319"/>
      <c r="W8" s="176"/>
      <c r="X8" s="311"/>
      <c r="Y8" s="311"/>
      <c r="Z8" s="311"/>
      <c r="AA8" s="140"/>
      <c r="AB8" s="140"/>
      <c r="AC8" s="140"/>
      <c r="AD8" s="140"/>
      <c r="AE8" s="252"/>
    </row>
    <row r="9" spans="1:31" x14ac:dyDescent="0.25">
      <c r="A9" s="258"/>
      <c r="B9" s="27"/>
      <c r="C9" s="192">
        <f>SUM(C6:C8)</f>
        <v>2056.21</v>
      </c>
      <c r="D9" s="28">
        <f>SUM(D6:D8)</f>
        <v>219056.59000000003</v>
      </c>
      <c r="E9" s="28">
        <f t="shared" ref="E9:F9" si="0">SUM(E6:E8)</f>
        <v>97810.47</v>
      </c>
      <c r="F9" s="28">
        <f t="shared" si="0"/>
        <v>0</v>
      </c>
      <c r="G9" s="28">
        <f>SUM(G6:G8)</f>
        <v>859197.42999999993</v>
      </c>
      <c r="H9" s="28">
        <f>SUM(H6:H8)</f>
        <v>80688.98000000001</v>
      </c>
      <c r="I9" s="28">
        <f t="shared" ref="I9:J9" si="1">SUM(I6:I8)</f>
        <v>0</v>
      </c>
      <c r="J9" s="28">
        <f t="shared" si="1"/>
        <v>0</v>
      </c>
      <c r="K9" s="28">
        <f>SUM(K6:K8)</f>
        <v>186.11</v>
      </c>
      <c r="L9" s="29">
        <f>SUM(L6:L8)</f>
        <v>1258995.79</v>
      </c>
      <c r="M9" s="259">
        <v>1258995.79</v>
      </c>
      <c r="N9" s="260"/>
      <c r="O9" s="260"/>
      <c r="P9" s="260"/>
      <c r="Q9" s="254"/>
      <c r="R9" s="258"/>
      <c r="S9" s="27"/>
      <c r="T9" s="28">
        <v>1530416.46</v>
      </c>
      <c r="U9" s="198">
        <v>1258995.79</v>
      </c>
      <c r="V9" s="320">
        <f>(U9/T9)*100</f>
        <v>82.264914348869468</v>
      </c>
      <c r="W9" s="197">
        <f>T9-U9</f>
        <v>271420.66999999993</v>
      </c>
      <c r="X9" s="311"/>
      <c r="Y9" s="311"/>
      <c r="Z9" s="311"/>
      <c r="AA9" s="140"/>
      <c r="AB9" s="140"/>
      <c r="AC9" s="140"/>
      <c r="AD9" s="140"/>
      <c r="AE9" s="252"/>
    </row>
    <row r="10" spans="1:31" x14ac:dyDescent="0.25">
      <c r="A10" s="256"/>
      <c r="B10" s="31"/>
      <c r="C10" s="199"/>
      <c r="D10" s="32"/>
      <c r="E10" s="32"/>
      <c r="F10" s="33"/>
      <c r="G10" s="32"/>
      <c r="H10" s="32"/>
      <c r="I10" s="205"/>
      <c r="J10" s="205"/>
      <c r="K10" s="34"/>
      <c r="L10" s="28">
        <f>SUM(C9:K9)</f>
        <v>1258995.79</v>
      </c>
      <c r="M10" s="260"/>
      <c r="N10" s="260"/>
      <c r="O10" s="260"/>
      <c r="P10" s="260"/>
      <c r="Q10" s="254"/>
      <c r="R10" s="256"/>
      <c r="S10" s="31"/>
      <c r="T10" s="311"/>
      <c r="U10" s="202"/>
      <c r="V10" s="321"/>
      <c r="W10" s="311"/>
      <c r="X10" s="311"/>
      <c r="Y10" s="311"/>
      <c r="Z10" s="311"/>
      <c r="AA10" s="140"/>
      <c r="AB10" s="140"/>
      <c r="AC10" s="140"/>
      <c r="AD10" s="140"/>
      <c r="AE10" s="252"/>
    </row>
    <row r="11" spans="1:31" x14ac:dyDescent="0.25">
      <c r="A11" s="261" t="s">
        <v>21</v>
      </c>
      <c r="B11" s="36"/>
      <c r="C11" s="199"/>
      <c r="D11" s="37"/>
      <c r="E11" s="38"/>
      <c r="F11" s="39"/>
      <c r="G11" s="38"/>
      <c r="H11" s="38"/>
      <c r="I11" s="205"/>
      <c r="J11" s="205"/>
      <c r="K11" s="40"/>
      <c r="L11" s="32"/>
      <c r="M11" s="205"/>
      <c r="N11" s="205"/>
      <c r="O11" s="205"/>
      <c r="P11" s="205"/>
      <c r="Q11" s="254"/>
      <c r="R11" s="261" t="s">
        <v>21</v>
      </c>
      <c r="S11" s="36"/>
      <c r="T11" s="311"/>
      <c r="U11" s="202"/>
      <c r="V11" s="322"/>
      <c r="W11" s="311"/>
      <c r="X11" s="311"/>
      <c r="Y11" s="311"/>
      <c r="Z11" s="311"/>
      <c r="AA11" s="140"/>
      <c r="AB11" s="140"/>
      <c r="AC11" s="140"/>
      <c r="AD11" s="140"/>
      <c r="AE11" s="252"/>
    </row>
    <row r="12" spans="1:31" x14ac:dyDescent="0.25">
      <c r="A12" s="262">
        <v>5500</v>
      </c>
      <c r="B12" s="42" t="s">
        <v>22</v>
      </c>
      <c r="C12" s="174"/>
      <c r="D12" s="43">
        <f>13976.26</f>
        <v>13976.26</v>
      </c>
      <c r="E12" s="20">
        <f>115.49</f>
        <v>115.49</v>
      </c>
      <c r="F12" s="16">
        <f>233.11</f>
        <v>233.11</v>
      </c>
      <c r="G12" s="16">
        <f>2496.24</f>
        <v>2496.2399999999998</v>
      </c>
      <c r="H12" s="43">
        <f>1301.66</f>
        <v>1301.6600000000001</v>
      </c>
      <c r="I12" s="174"/>
      <c r="J12" s="174"/>
      <c r="K12" s="20"/>
      <c r="L12" s="18">
        <f>SUM(D12:K12)</f>
        <v>18122.759999999998</v>
      </c>
      <c r="M12" s="47" t="s">
        <v>23</v>
      </c>
      <c r="N12" s="187"/>
      <c r="O12" s="49" t="s">
        <v>24</v>
      </c>
      <c r="P12" s="188"/>
      <c r="Q12" s="263"/>
      <c r="R12" s="262">
        <v>5500</v>
      </c>
      <c r="S12" s="42" t="s">
        <v>22</v>
      </c>
      <c r="T12" s="196">
        <v>5000</v>
      </c>
      <c r="U12" s="196">
        <v>18122.759999999998</v>
      </c>
      <c r="V12" s="323">
        <f t="shared" ref="V12" si="2">(U12/T12)*100</f>
        <v>362.45519999999993</v>
      </c>
      <c r="W12" s="196">
        <f>T12-U12</f>
        <v>-13122.759999999998</v>
      </c>
      <c r="X12" s="311"/>
      <c r="Y12" s="47" t="s">
        <v>23</v>
      </c>
      <c r="Z12" s="187"/>
      <c r="AA12" s="49" t="s">
        <v>24</v>
      </c>
      <c r="AB12" s="187"/>
      <c r="AC12" s="48"/>
      <c r="AD12" s="50"/>
      <c r="AE12" s="252"/>
    </row>
    <row r="13" spans="1:31" ht="16.5" thickBot="1" x14ac:dyDescent="0.3">
      <c r="A13" s="264">
        <v>5502</v>
      </c>
      <c r="B13" s="42" t="s">
        <v>25</v>
      </c>
      <c r="C13" s="175"/>
      <c r="D13" s="43"/>
      <c r="E13" s="20"/>
      <c r="F13" s="16"/>
      <c r="G13" s="16"/>
      <c r="H13" s="43"/>
      <c r="I13" s="175"/>
      <c r="J13" s="175"/>
      <c r="K13" s="20"/>
      <c r="L13" s="16">
        <f t="shared" ref="L13:L30" si="3">SUM(D13:K13)</f>
        <v>0</v>
      </c>
      <c r="M13" s="52" t="s">
        <v>26</v>
      </c>
      <c r="N13" s="53"/>
      <c r="O13" s="53" t="s">
        <v>27</v>
      </c>
      <c r="P13" s="54" t="s">
        <v>28</v>
      </c>
      <c r="Q13" s="263"/>
      <c r="R13" s="264">
        <v>5502</v>
      </c>
      <c r="S13" s="42" t="s">
        <v>25</v>
      </c>
      <c r="T13" s="195">
        <v>0</v>
      </c>
      <c r="U13" s="195">
        <v>0</v>
      </c>
      <c r="V13" s="323"/>
      <c r="W13" s="195">
        <f t="shared" ref="W13:W30" si="4">T13-U13</f>
        <v>0</v>
      </c>
      <c r="X13" s="311"/>
      <c r="Y13" s="52" t="s">
        <v>26</v>
      </c>
      <c r="Z13" s="53"/>
      <c r="AA13" s="53" t="s">
        <v>27</v>
      </c>
      <c r="AB13" s="53" t="s">
        <v>28</v>
      </c>
      <c r="AC13" s="37"/>
      <c r="AD13" s="206"/>
      <c r="AE13" s="252"/>
    </row>
    <row r="14" spans="1:31" ht="16.5" thickBot="1" x14ac:dyDescent="0.3">
      <c r="A14" s="264">
        <v>5503</v>
      </c>
      <c r="B14" s="42" t="s">
        <v>29</v>
      </c>
      <c r="C14" s="175"/>
      <c r="D14" s="43">
        <f>39.2</f>
        <v>39.200000000000003</v>
      </c>
      <c r="E14" s="20"/>
      <c r="F14" s="16"/>
      <c r="G14" s="16">
        <f>1556.67</f>
        <v>1556.67</v>
      </c>
      <c r="H14" s="43">
        <f>60</f>
        <v>60</v>
      </c>
      <c r="I14" s="175"/>
      <c r="J14" s="175"/>
      <c r="K14" s="20"/>
      <c r="L14" s="16">
        <f t="shared" si="3"/>
        <v>1655.8700000000001</v>
      </c>
      <c r="M14" s="47" t="s">
        <v>30</v>
      </c>
      <c r="N14" s="188"/>
      <c r="O14" s="55" t="s">
        <v>31</v>
      </c>
      <c r="P14" s="56">
        <f>P15+P16</f>
        <v>152928.25</v>
      </c>
      <c r="Q14" s="263"/>
      <c r="R14" s="264">
        <v>5503</v>
      </c>
      <c r="S14" s="42" t="s">
        <v>29</v>
      </c>
      <c r="T14" s="195">
        <v>1000</v>
      </c>
      <c r="U14" s="200">
        <v>1655.8700000000001</v>
      </c>
      <c r="V14" s="323">
        <f>(U14/T14)*100</f>
        <v>165.58700000000002</v>
      </c>
      <c r="W14" s="195">
        <f t="shared" si="4"/>
        <v>-655.87000000000012</v>
      </c>
      <c r="X14" s="311"/>
      <c r="Y14" s="209" t="s">
        <v>30</v>
      </c>
      <c r="Z14" s="210"/>
      <c r="AA14" s="211" t="s">
        <v>95</v>
      </c>
      <c r="AB14" s="201" t="s">
        <v>92</v>
      </c>
      <c r="AC14" s="201" t="s">
        <v>93</v>
      </c>
      <c r="AD14" s="201" t="s">
        <v>94</v>
      </c>
      <c r="AE14" s="252"/>
    </row>
    <row r="15" spans="1:31" x14ac:dyDescent="0.25">
      <c r="A15" s="264">
        <v>5504</v>
      </c>
      <c r="B15" s="42" t="s">
        <v>32</v>
      </c>
      <c r="C15" s="175"/>
      <c r="D15" s="43">
        <f>1088.4</f>
        <v>1088.4000000000001</v>
      </c>
      <c r="E15" s="20"/>
      <c r="F15" s="16">
        <f>60</f>
        <v>60</v>
      </c>
      <c r="G15" s="16">
        <f>4355.7</f>
        <v>4355.7</v>
      </c>
      <c r="H15" s="43"/>
      <c r="I15" s="175"/>
      <c r="J15" s="175"/>
      <c r="K15" s="20"/>
      <c r="L15" s="16">
        <f t="shared" si="3"/>
        <v>5504.1</v>
      </c>
      <c r="M15" s="57" t="s">
        <v>33</v>
      </c>
      <c r="N15" s="58"/>
      <c r="O15" s="59">
        <v>52091</v>
      </c>
      <c r="P15" s="60">
        <f>20939.1+108439.15</f>
        <v>129378.25</v>
      </c>
      <c r="Q15" s="263"/>
      <c r="R15" s="264">
        <v>5504</v>
      </c>
      <c r="S15" s="42" t="s">
        <v>32</v>
      </c>
      <c r="T15" s="195">
        <v>2000</v>
      </c>
      <c r="U15" s="195">
        <v>5504.1</v>
      </c>
      <c r="V15" s="323">
        <f t="shared" ref="V15:V28" si="5">(U15/T15)*100</f>
        <v>275.20499999999998</v>
      </c>
      <c r="W15" s="195">
        <f t="shared" si="4"/>
        <v>-3504.1000000000004</v>
      </c>
      <c r="X15" s="311"/>
      <c r="Y15" s="221" t="s">
        <v>96</v>
      </c>
      <c r="Z15" s="222"/>
      <c r="AA15" s="233">
        <v>185694.07999999999</v>
      </c>
      <c r="AB15" s="223">
        <f>AB16+AB17</f>
        <v>152928.25</v>
      </c>
      <c r="AC15" s="314">
        <f>(AB15/AA15)*100</f>
        <v>82.354940986810149</v>
      </c>
      <c r="AD15" s="315">
        <f>AA15-AB15</f>
        <v>32765.829999999987</v>
      </c>
      <c r="AE15" s="252"/>
    </row>
    <row r="16" spans="1:31" ht="16.5" thickBot="1" x14ac:dyDescent="0.3">
      <c r="A16" s="264">
        <v>5511</v>
      </c>
      <c r="B16" s="42" t="s">
        <v>34</v>
      </c>
      <c r="C16" s="175"/>
      <c r="D16" s="199">
        <f>143297.93</f>
        <v>143297.93</v>
      </c>
      <c r="E16" s="20">
        <f>683.63</f>
        <v>683.63</v>
      </c>
      <c r="F16" s="16">
        <f>49.2</f>
        <v>49.2</v>
      </c>
      <c r="G16" s="16">
        <f>2786.69</f>
        <v>2786.69</v>
      </c>
      <c r="H16" s="43"/>
      <c r="I16" s="175"/>
      <c r="J16" s="175"/>
      <c r="K16" s="20"/>
      <c r="L16" s="16">
        <f t="shared" si="3"/>
        <v>146817.45000000001</v>
      </c>
      <c r="M16" s="61" t="s">
        <v>35</v>
      </c>
      <c r="N16" s="62"/>
      <c r="O16" s="63">
        <v>52093</v>
      </c>
      <c r="P16" s="64">
        <f>14710+8840</f>
        <v>23550</v>
      </c>
      <c r="Q16" s="263"/>
      <c r="R16" s="264">
        <v>5511</v>
      </c>
      <c r="S16" s="42" t="s">
        <v>34</v>
      </c>
      <c r="T16" s="195">
        <v>160000</v>
      </c>
      <c r="U16" s="195">
        <v>146817.45000000001</v>
      </c>
      <c r="V16" s="323">
        <f t="shared" si="5"/>
        <v>91.760906250000005</v>
      </c>
      <c r="W16" s="195">
        <f t="shared" si="4"/>
        <v>13182.549999999988</v>
      </c>
      <c r="X16" s="311"/>
      <c r="Y16" s="213" t="s">
        <v>33</v>
      </c>
      <c r="Z16" s="204"/>
      <c r="AA16" s="220"/>
      <c r="AB16" s="220">
        <f>20939.1+108439.15</f>
        <v>129378.25</v>
      </c>
      <c r="AC16" s="234"/>
      <c r="AD16" s="234"/>
      <c r="AE16" s="252"/>
    </row>
    <row r="17" spans="1:31" ht="16.5" thickBot="1" x14ac:dyDescent="0.3">
      <c r="A17" s="264">
        <v>5512</v>
      </c>
      <c r="B17" s="42" t="s">
        <v>36</v>
      </c>
      <c r="C17" s="175"/>
      <c r="D17" s="43">
        <f>12.45</f>
        <v>12.45</v>
      </c>
      <c r="E17" s="20">
        <f>4.69</f>
        <v>4.6900000000000004</v>
      </c>
      <c r="F17" s="16"/>
      <c r="G17" s="16"/>
      <c r="H17" s="43"/>
      <c r="I17" s="175"/>
      <c r="J17" s="175"/>
      <c r="K17" s="20"/>
      <c r="L17" s="16">
        <f t="shared" si="3"/>
        <v>17.14</v>
      </c>
      <c r="M17" s="65" t="s">
        <v>37</v>
      </c>
      <c r="N17" s="66"/>
      <c r="O17" s="67">
        <v>52095</v>
      </c>
      <c r="P17" s="68">
        <f>344.38+24847.12</f>
        <v>25191.5</v>
      </c>
      <c r="Q17" s="263"/>
      <c r="R17" s="264">
        <v>5512</v>
      </c>
      <c r="S17" s="42" t="s">
        <v>36</v>
      </c>
      <c r="T17" s="218"/>
      <c r="U17" s="195">
        <v>17.14</v>
      </c>
      <c r="V17" s="323"/>
      <c r="W17" s="195">
        <f t="shared" si="4"/>
        <v>-17.14</v>
      </c>
      <c r="X17" s="311"/>
      <c r="Y17" s="214" t="s">
        <v>35</v>
      </c>
      <c r="Z17" s="219"/>
      <c r="AA17" s="178"/>
      <c r="AB17" s="178">
        <f>14710+8840</f>
        <v>23550</v>
      </c>
      <c r="AC17" s="235"/>
      <c r="AD17" s="235"/>
      <c r="AE17" s="252"/>
    </row>
    <row r="18" spans="1:31" ht="16.5" thickBot="1" x14ac:dyDescent="0.3">
      <c r="A18" s="264">
        <v>5513</v>
      </c>
      <c r="B18" s="42" t="s">
        <v>38</v>
      </c>
      <c r="C18" s="175"/>
      <c r="D18" s="43">
        <f>8224.46</f>
        <v>8224.4599999999991</v>
      </c>
      <c r="E18" s="20"/>
      <c r="F18" s="16"/>
      <c r="G18" s="16">
        <v>104.32</v>
      </c>
      <c r="H18" s="43"/>
      <c r="I18" s="175"/>
      <c r="J18" s="175"/>
      <c r="K18" s="20"/>
      <c r="L18" s="16">
        <f t="shared" si="3"/>
        <v>8328.7799999999988</v>
      </c>
      <c r="M18" s="65" t="s">
        <v>97</v>
      </c>
      <c r="N18" s="66"/>
      <c r="O18" s="67">
        <v>52094</v>
      </c>
      <c r="P18" s="68">
        <v>44108.75</v>
      </c>
      <c r="Q18" s="263"/>
      <c r="R18" s="264">
        <v>5513</v>
      </c>
      <c r="S18" s="42" t="s">
        <v>38</v>
      </c>
      <c r="T18" s="195">
        <v>4000</v>
      </c>
      <c r="U18" s="195">
        <v>8328.7799999999988</v>
      </c>
      <c r="V18" s="323">
        <f t="shared" si="5"/>
        <v>208.21949999999995</v>
      </c>
      <c r="W18" s="195">
        <f t="shared" si="4"/>
        <v>-4328.7799999999988</v>
      </c>
      <c r="X18" s="311"/>
      <c r="Y18" s="217" t="s">
        <v>37</v>
      </c>
      <c r="Z18" s="231"/>
      <c r="AA18" s="139">
        <v>44582.12</v>
      </c>
      <c r="AB18" s="139">
        <f>344.38+24847.12</f>
        <v>25191.5</v>
      </c>
      <c r="AC18" s="224">
        <f t="shared" ref="AC18:AC19" si="6">(AB18/AA18)*100</f>
        <v>56.505836869130491</v>
      </c>
      <c r="AD18" s="239">
        <f t="shared" ref="AD18:AD21" si="7">AA18-AB18</f>
        <v>19390.620000000003</v>
      </c>
      <c r="AE18" s="252"/>
    </row>
    <row r="19" spans="1:31" ht="16.5" thickBot="1" x14ac:dyDescent="0.3">
      <c r="A19" s="264">
        <v>5514</v>
      </c>
      <c r="B19" s="42" t="s">
        <v>40</v>
      </c>
      <c r="C19" s="175"/>
      <c r="D19" s="43">
        <f>8375.09</f>
        <v>8375.09</v>
      </c>
      <c r="E19" s="20"/>
      <c r="F19" s="16">
        <f>70.8</f>
        <v>70.8</v>
      </c>
      <c r="G19" s="16"/>
      <c r="H19" s="43">
        <f>45.9</f>
        <v>45.9</v>
      </c>
      <c r="I19" s="175"/>
      <c r="J19" s="175"/>
      <c r="K19" s="20"/>
      <c r="L19" s="16">
        <f t="shared" si="3"/>
        <v>8491.7899999999991</v>
      </c>
      <c r="M19" s="69" t="s">
        <v>41</v>
      </c>
      <c r="N19" s="70"/>
      <c r="O19" s="71">
        <v>52008</v>
      </c>
      <c r="P19" s="72">
        <f>2800+1710.16</f>
        <v>4510.16</v>
      </c>
      <c r="Q19" s="263"/>
      <c r="R19" s="264">
        <v>5514</v>
      </c>
      <c r="S19" s="42" t="s">
        <v>40</v>
      </c>
      <c r="T19" s="195">
        <v>3000</v>
      </c>
      <c r="U19" s="195">
        <v>8491.7899999999991</v>
      </c>
      <c r="V19" s="323">
        <f t="shared" si="5"/>
        <v>283.0596666666666</v>
      </c>
      <c r="W19" s="195">
        <f t="shared" si="4"/>
        <v>-5491.7899999999991</v>
      </c>
      <c r="X19" s="311"/>
      <c r="Y19" s="215" t="s">
        <v>97</v>
      </c>
      <c r="Z19" s="229"/>
      <c r="AA19" s="139">
        <f>84834.29+12312</f>
        <v>97146.29</v>
      </c>
      <c r="AB19" s="139">
        <v>44108.75</v>
      </c>
      <c r="AC19" s="236">
        <f t="shared" si="6"/>
        <v>45.404461662920944</v>
      </c>
      <c r="AD19" s="225">
        <f t="shared" si="7"/>
        <v>53037.539999999994</v>
      </c>
      <c r="AE19" s="252"/>
    </row>
    <row r="20" spans="1:31" ht="16.5" thickBot="1" x14ac:dyDescent="0.3">
      <c r="A20" s="264">
        <v>5515</v>
      </c>
      <c r="B20" s="42" t="s">
        <v>42</v>
      </c>
      <c r="C20" s="175"/>
      <c r="D20" s="43">
        <f>8696.41+299.08</f>
        <v>8995.49</v>
      </c>
      <c r="E20" s="20"/>
      <c r="F20" s="16"/>
      <c r="G20" s="16">
        <f>484.49</f>
        <v>484.49</v>
      </c>
      <c r="H20" s="43"/>
      <c r="I20" s="175"/>
      <c r="J20" s="175"/>
      <c r="K20" s="20"/>
      <c r="L20" s="16">
        <f t="shared" si="3"/>
        <v>9479.98</v>
      </c>
      <c r="M20" s="73" t="s">
        <v>41</v>
      </c>
      <c r="N20" s="74"/>
      <c r="O20" s="75">
        <v>521000</v>
      </c>
      <c r="P20" s="76">
        <f>4773.55+1933.4</f>
        <v>6706.9500000000007</v>
      </c>
      <c r="Q20" s="263"/>
      <c r="R20" s="264">
        <v>5515</v>
      </c>
      <c r="S20" s="42" t="s">
        <v>42</v>
      </c>
      <c r="T20" s="195">
        <v>10000</v>
      </c>
      <c r="U20" s="195">
        <v>9479.98</v>
      </c>
      <c r="V20" s="323">
        <f t="shared" si="5"/>
        <v>94.799800000000005</v>
      </c>
      <c r="W20" s="195">
        <f t="shared" si="4"/>
        <v>520.02000000000044</v>
      </c>
      <c r="X20" s="311"/>
      <c r="Y20" s="216" t="s">
        <v>41</v>
      </c>
      <c r="Z20" s="232"/>
      <c r="AA20" s="226">
        <v>0</v>
      </c>
      <c r="AB20" s="226">
        <f>2800+1710.16</f>
        <v>4510.16</v>
      </c>
      <c r="AC20" s="237"/>
      <c r="AD20" s="241">
        <f t="shared" si="7"/>
        <v>-4510.16</v>
      </c>
      <c r="AE20" s="252"/>
    </row>
    <row r="21" spans="1:31" ht="16.5" thickBot="1" x14ac:dyDescent="0.3">
      <c r="A21" s="264">
        <v>5516</v>
      </c>
      <c r="B21" s="42" t="s">
        <v>43</v>
      </c>
      <c r="C21" s="175"/>
      <c r="D21" s="43">
        <f>47.8</f>
        <v>47.8</v>
      </c>
      <c r="E21" s="20"/>
      <c r="F21" s="16"/>
      <c r="G21" s="16">
        <f>184.9</f>
        <v>184.9</v>
      </c>
      <c r="H21" s="43"/>
      <c r="I21" s="175"/>
      <c r="J21" s="175"/>
      <c r="K21" s="20"/>
      <c r="L21" s="16">
        <f t="shared" si="3"/>
        <v>232.7</v>
      </c>
      <c r="M21" s="77"/>
      <c r="N21" s="77"/>
      <c r="O21" s="77"/>
      <c r="P21" s="78">
        <f>SUM(P15:P20)</f>
        <v>233445.61000000002</v>
      </c>
      <c r="Q21" s="265">
        <v>233445.61</v>
      </c>
      <c r="R21" s="264">
        <v>5516</v>
      </c>
      <c r="S21" s="42" t="s">
        <v>43</v>
      </c>
      <c r="T21" s="195">
        <v>0</v>
      </c>
      <c r="U21" s="195">
        <v>232.7</v>
      </c>
      <c r="V21" s="323"/>
      <c r="W21" s="195">
        <f t="shared" si="4"/>
        <v>-232.7</v>
      </c>
      <c r="X21" s="311"/>
      <c r="Y21" s="217" t="s">
        <v>41</v>
      </c>
      <c r="Z21" s="231"/>
      <c r="AA21" s="141">
        <v>0</v>
      </c>
      <c r="AB21" s="141">
        <f>4773.55+1933.4</f>
        <v>6706.9500000000007</v>
      </c>
      <c r="AC21" s="238"/>
      <c r="AD21" s="242">
        <f t="shared" si="7"/>
        <v>-6706.9500000000007</v>
      </c>
      <c r="AE21" s="252"/>
    </row>
    <row r="22" spans="1:31" ht="16.5" thickBot="1" x14ac:dyDescent="0.3">
      <c r="A22" s="264">
        <v>5521</v>
      </c>
      <c r="B22" s="42" t="s">
        <v>44</v>
      </c>
      <c r="C22" s="175"/>
      <c r="D22" s="43">
        <f>23.47</f>
        <v>23.47</v>
      </c>
      <c r="E22" s="20"/>
      <c r="F22" s="16">
        <f>6091.74+46.87</f>
        <v>6138.61</v>
      </c>
      <c r="G22" s="16">
        <f>218.82+12.36</f>
        <v>231.18</v>
      </c>
      <c r="H22" s="43"/>
      <c r="I22" s="175"/>
      <c r="J22" s="190"/>
      <c r="K22" s="20"/>
      <c r="L22" s="16">
        <f t="shared" si="3"/>
        <v>6393.26</v>
      </c>
      <c r="M22" s="34"/>
      <c r="N22" s="34"/>
      <c r="O22" s="34"/>
      <c r="P22" s="34"/>
      <c r="Q22" s="263"/>
      <c r="R22" s="264">
        <v>5521</v>
      </c>
      <c r="S22" s="42" t="s">
        <v>44</v>
      </c>
      <c r="T22" s="195">
        <v>45000</v>
      </c>
      <c r="U22" s="195">
        <v>6393.26</v>
      </c>
      <c r="V22" s="323">
        <f t="shared" si="5"/>
        <v>14.207244444444445</v>
      </c>
      <c r="W22" s="195">
        <f t="shared" si="4"/>
        <v>38606.74</v>
      </c>
      <c r="X22" s="311"/>
      <c r="Y22" s="77"/>
      <c r="Z22" s="77"/>
      <c r="AA22" s="141">
        <f>SUM(AA15:AA21)</f>
        <v>327422.49</v>
      </c>
      <c r="AB22" s="139">
        <f>SUM(AB16:AB21)</f>
        <v>233445.61000000002</v>
      </c>
      <c r="AC22" s="224">
        <f>(AB22/AA22)*100</f>
        <v>71.297976507355983</v>
      </c>
      <c r="AD22" s="240">
        <f>AA22-AB22</f>
        <v>93976.879999999976</v>
      </c>
      <c r="AE22" s="252"/>
    </row>
    <row r="23" spans="1:31" x14ac:dyDescent="0.25">
      <c r="A23" s="264">
        <v>5522</v>
      </c>
      <c r="B23" s="15" t="s">
        <v>45</v>
      </c>
      <c r="C23" s="175"/>
      <c r="D23" s="43">
        <f>4301.28+263.61</f>
        <v>4564.8899999999994</v>
      </c>
      <c r="E23" s="20"/>
      <c r="F23" s="16"/>
      <c r="G23" s="16">
        <f>329.1</f>
        <v>329.1</v>
      </c>
      <c r="H23" s="43"/>
      <c r="I23" s="175"/>
      <c r="J23" s="190"/>
      <c r="K23" s="20"/>
      <c r="L23" s="16">
        <f t="shared" si="3"/>
        <v>4893.99</v>
      </c>
      <c r="M23" s="47" t="s">
        <v>23</v>
      </c>
      <c r="N23" s="79"/>
      <c r="O23" s="49" t="s">
        <v>46</v>
      </c>
      <c r="P23" s="151"/>
      <c r="Q23" s="263"/>
      <c r="R23" s="264">
        <v>5522</v>
      </c>
      <c r="S23" s="15" t="s">
        <v>45</v>
      </c>
      <c r="T23" s="195">
        <v>1000</v>
      </c>
      <c r="U23" s="195">
        <v>4893.99</v>
      </c>
      <c r="V23" s="323">
        <f t="shared" si="5"/>
        <v>489.39899999999994</v>
      </c>
      <c r="W23" s="195">
        <f t="shared" si="4"/>
        <v>-3893.99</v>
      </c>
      <c r="X23" s="311"/>
      <c r="Y23" s="34"/>
      <c r="Z23" s="34"/>
      <c r="AA23" s="34"/>
      <c r="AB23" s="34"/>
      <c r="AC23" s="140"/>
      <c r="AD23" s="140"/>
      <c r="AE23" s="252"/>
    </row>
    <row r="24" spans="1:31" x14ac:dyDescent="0.25">
      <c r="A24" s="264">
        <v>5524</v>
      </c>
      <c r="B24" s="42" t="s">
        <v>47</v>
      </c>
      <c r="C24" s="175"/>
      <c r="D24" s="43">
        <f>473.6</f>
        <v>473.6</v>
      </c>
      <c r="E24" s="20"/>
      <c r="F24" s="16">
        <f>102.57</f>
        <v>102.57</v>
      </c>
      <c r="G24" s="16">
        <f>-6729.9+32504.81</f>
        <v>25774.910000000003</v>
      </c>
      <c r="H24" s="43">
        <f>29.95</f>
        <v>29.95</v>
      </c>
      <c r="I24" s="175"/>
      <c r="J24" s="190"/>
      <c r="K24" s="20"/>
      <c r="L24" s="16">
        <f t="shared" si="3"/>
        <v>26381.030000000002</v>
      </c>
      <c r="M24" s="52" t="s">
        <v>26</v>
      </c>
      <c r="N24" s="40"/>
      <c r="O24" s="53" t="s">
        <v>27</v>
      </c>
      <c r="P24" s="80" t="s">
        <v>28</v>
      </c>
      <c r="Q24" s="263"/>
      <c r="R24" s="264">
        <v>5524</v>
      </c>
      <c r="S24" s="42" t="s">
        <v>47</v>
      </c>
      <c r="T24" s="195">
        <v>28000</v>
      </c>
      <c r="U24" s="195">
        <v>26381.030000000002</v>
      </c>
      <c r="V24" s="323">
        <f t="shared" si="5"/>
        <v>94.217964285714288</v>
      </c>
      <c r="W24" s="195">
        <f t="shared" si="4"/>
        <v>1618.9699999999975</v>
      </c>
      <c r="X24" s="311"/>
      <c r="Y24" s="47" t="s">
        <v>23</v>
      </c>
      <c r="Z24" s="79"/>
      <c r="AA24" s="49" t="s">
        <v>46</v>
      </c>
      <c r="AB24" s="79"/>
      <c r="AC24" s="48"/>
      <c r="AD24" s="50"/>
      <c r="AE24" s="252"/>
    </row>
    <row r="25" spans="1:31" x14ac:dyDescent="0.25">
      <c r="A25" s="264">
        <v>5525</v>
      </c>
      <c r="B25" s="42" t="s">
        <v>48</v>
      </c>
      <c r="C25" s="175"/>
      <c r="D25" s="43">
        <f>100</f>
        <v>100</v>
      </c>
      <c r="E25" s="20"/>
      <c r="F25" s="16"/>
      <c r="G25" s="16">
        <f>2696.31</f>
        <v>2696.31</v>
      </c>
      <c r="H25" s="43"/>
      <c r="I25" s="175"/>
      <c r="J25" s="175"/>
      <c r="K25" s="20"/>
      <c r="L25" s="16">
        <f t="shared" si="3"/>
        <v>2796.31</v>
      </c>
      <c r="M25" s="44"/>
      <c r="N25" s="34"/>
      <c r="O25" s="77"/>
      <c r="P25" s="54"/>
      <c r="Q25" s="263"/>
      <c r="R25" s="264">
        <v>5525</v>
      </c>
      <c r="S25" s="42" t="s">
        <v>48</v>
      </c>
      <c r="T25" s="195">
        <v>1500</v>
      </c>
      <c r="U25" s="195">
        <v>2796.31</v>
      </c>
      <c r="V25" s="323">
        <f t="shared" si="5"/>
        <v>186.42066666666665</v>
      </c>
      <c r="W25" s="195">
        <f t="shared" si="4"/>
        <v>-1296.31</v>
      </c>
      <c r="X25" s="311"/>
      <c r="Y25" s="52" t="s">
        <v>26</v>
      </c>
      <c r="Z25" s="40"/>
      <c r="AA25" s="53" t="s">
        <v>27</v>
      </c>
      <c r="AB25" s="53" t="s">
        <v>28</v>
      </c>
      <c r="AC25" s="37"/>
      <c r="AD25" s="206"/>
      <c r="AE25" s="252"/>
    </row>
    <row r="26" spans="1:31" ht="16.5" thickBot="1" x14ac:dyDescent="0.3">
      <c r="A26" s="264">
        <v>5532</v>
      </c>
      <c r="B26" s="42" t="s">
        <v>49</v>
      </c>
      <c r="C26" s="175"/>
      <c r="D26" s="43">
        <f>313.58</f>
        <v>313.58</v>
      </c>
      <c r="E26" s="20"/>
      <c r="F26" s="16"/>
      <c r="G26" s="16">
        <f>106.21</f>
        <v>106.21</v>
      </c>
      <c r="H26" s="43"/>
      <c r="I26" s="175"/>
      <c r="J26" s="175"/>
      <c r="K26" s="20"/>
      <c r="L26" s="16">
        <f t="shared" si="3"/>
        <v>419.78999999999996</v>
      </c>
      <c r="M26" s="81" t="s">
        <v>50</v>
      </c>
      <c r="N26" s="82"/>
      <c r="O26" s="83"/>
      <c r="P26" s="84">
        <f>11040+9212</f>
        <v>20252</v>
      </c>
      <c r="Q26" s="263"/>
      <c r="R26" s="264">
        <v>5532</v>
      </c>
      <c r="S26" s="42" t="s">
        <v>49</v>
      </c>
      <c r="T26" s="195">
        <v>0</v>
      </c>
      <c r="U26" s="195">
        <v>419.78999999999996</v>
      </c>
      <c r="V26" s="323"/>
      <c r="W26" s="195">
        <f t="shared" si="4"/>
        <v>-419.78999999999996</v>
      </c>
      <c r="X26" s="311"/>
      <c r="Y26" s="209" t="s">
        <v>30</v>
      </c>
      <c r="Z26" s="210"/>
      <c r="AA26" s="211" t="s">
        <v>95</v>
      </c>
      <c r="AB26" s="201" t="s">
        <v>92</v>
      </c>
      <c r="AC26" s="201" t="s">
        <v>93</v>
      </c>
      <c r="AD26" s="201" t="s">
        <v>94</v>
      </c>
      <c r="AE26" s="252"/>
    </row>
    <row r="27" spans="1:31" ht="16.5" thickBot="1" x14ac:dyDescent="0.3">
      <c r="A27" s="264">
        <v>5539</v>
      </c>
      <c r="B27" s="42" t="s">
        <v>51</v>
      </c>
      <c r="C27" s="175"/>
      <c r="D27" s="43">
        <f>148.2</f>
        <v>148.19999999999999</v>
      </c>
      <c r="E27" s="20"/>
      <c r="F27" s="16"/>
      <c r="G27" s="16"/>
      <c r="H27" s="43"/>
      <c r="I27" s="175"/>
      <c r="J27" s="175"/>
      <c r="K27" s="20"/>
      <c r="L27" s="16">
        <f t="shared" si="3"/>
        <v>148.19999999999999</v>
      </c>
      <c r="M27" s="87"/>
      <c r="N27" s="40"/>
      <c r="O27" s="40"/>
      <c r="P27" s="28">
        <f>SUM(P26)</f>
        <v>20252</v>
      </c>
      <c r="Q27" s="265">
        <v>20252</v>
      </c>
      <c r="R27" s="264">
        <v>5539</v>
      </c>
      <c r="S27" s="42" t="s">
        <v>51</v>
      </c>
      <c r="T27" s="195">
        <v>614</v>
      </c>
      <c r="U27" s="195">
        <v>148.19999999999999</v>
      </c>
      <c r="V27" s="323">
        <f t="shared" si="5"/>
        <v>24.136807817589574</v>
      </c>
      <c r="W27" s="195">
        <f t="shared" si="4"/>
        <v>465.8</v>
      </c>
      <c r="X27" s="311"/>
      <c r="Y27" s="228" t="s">
        <v>50</v>
      </c>
      <c r="Z27" s="229"/>
      <c r="AA27" s="139">
        <v>30338</v>
      </c>
      <c r="AB27" s="139">
        <f>11040+9212</f>
        <v>20252</v>
      </c>
      <c r="AC27" s="224">
        <f>(AB27/AA27)*100</f>
        <v>66.754565231722594</v>
      </c>
      <c r="AD27" s="230">
        <f>AA27-AB27</f>
        <v>10086</v>
      </c>
      <c r="AE27" s="252"/>
    </row>
    <row r="28" spans="1:31" x14ac:dyDescent="0.25">
      <c r="A28" s="264">
        <v>5540</v>
      </c>
      <c r="B28" s="42" t="s">
        <v>52</v>
      </c>
      <c r="C28" s="175"/>
      <c r="D28" s="43">
        <f>26.4</f>
        <v>26.4</v>
      </c>
      <c r="E28" s="20"/>
      <c r="F28" s="16"/>
      <c r="G28" s="16">
        <f>100</f>
        <v>100</v>
      </c>
      <c r="H28" s="43">
        <f>8.68</f>
        <v>8.68</v>
      </c>
      <c r="I28" s="16">
        <v>4797.82</v>
      </c>
      <c r="J28" s="175"/>
      <c r="K28" s="20"/>
      <c r="L28" s="16">
        <f t="shared" si="3"/>
        <v>4932.8999999999996</v>
      </c>
      <c r="M28" s="34"/>
      <c r="N28" s="34"/>
      <c r="O28" s="205"/>
      <c r="P28" s="205"/>
      <c r="Q28" s="263"/>
      <c r="R28" s="264">
        <v>5540</v>
      </c>
      <c r="S28" s="42" t="s">
        <v>52</v>
      </c>
      <c r="T28" s="195">
        <v>500</v>
      </c>
      <c r="U28" s="195">
        <v>4932.8999999999996</v>
      </c>
      <c r="V28" s="323">
        <f t="shared" si="5"/>
        <v>986.58</v>
      </c>
      <c r="W28" s="195">
        <f t="shared" si="4"/>
        <v>-4432.8999999999996</v>
      </c>
      <c r="X28" s="311"/>
      <c r="Y28" s="34"/>
      <c r="Z28" s="34"/>
      <c r="AA28" s="35"/>
      <c r="AB28" s="32"/>
      <c r="AC28" s="227"/>
      <c r="AD28" s="202"/>
      <c r="AE28" s="252"/>
    </row>
    <row r="29" spans="1:31" x14ac:dyDescent="0.25">
      <c r="A29" s="264">
        <v>4528</v>
      </c>
      <c r="B29" s="42" t="s">
        <v>53</v>
      </c>
      <c r="C29" s="175"/>
      <c r="D29" s="43">
        <f>5299</f>
        <v>5299</v>
      </c>
      <c r="E29" s="20"/>
      <c r="F29" s="16"/>
      <c r="G29" s="16"/>
      <c r="H29" s="43"/>
      <c r="I29" s="175"/>
      <c r="J29" s="175"/>
      <c r="K29" s="20"/>
      <c r="L29" s="16">
        <f t="shared" si="3"/>
        <v>5299</v>
      </c>
      <c r="M29" s="205"/>
      <c r="N29" s="205"/>
      <c r="O29" s="205"/>
      <c r="P29" s="205"/>
      <c r="Q29" s="263"/>
      <c r="R29" s="264">
        <v>4528</v>
      </c>
      <c r="S29" s="42" t="s">
        <v>53</v>
      </c>
      <c r="T29" s="195"/>
      <c r="U29" s="195">
        <v>5299</v>
      </c>
      <c r="V29" s="323"/>
      <c r="W29" s="195">
        <f t="shared" si="4"/>
        <v>-5299</v>
      </c>
      <c r="X29" s="311"/>
      <c r="Y29" s="311"/>
      <c r="Z29" s="311"/>
      <c r="AA29" s="140"/>
      <c r="AB29" s="140"/>
      <c r="AC29" s="140"/>
      <c r="AD29" s="140"/>
      <c r="AE29" s="252"/>
    </row>
    <row r="30" spans="1:31" x14ac:dyDescent="0.25">
      <c r="A30" s="266">
        <v>6010</v>
      </c>
      <c r="B30" s="24" t="s">
        <v>54</v>
      </c>
      <c r="C30" s="177"/>
      <c r="D30" s="43">
        <f>-33.45-64.24</f>
        <v>-97.69</v>
      </c>
      <c r="E30" s="20"/>
      <c r="F30" s="25"/>
      <c r="G30" s="25">
        <f>-60.06</f>
        <v>-60.06</v>
      </c>
      <c r="H30" s="43"/>
      <c r="I30" s="177"/>
      <c r="J30" s="177"/>
      <c r="K30" s="153"/>
      <c r="L30" s="25">
        <f t="shared" si="3"/>
        <v>-157.75</v>
      </c>
      <c r="M30" s="205"/>
      <c r="N30" s="205"/>
      <c r="O30" s="205"/>
      <c r="P30" s="205"/>
      <c r="Q30" s="263"/>
      <c r="R30" s="266">
        <v>6010</v>
      </c>
      <c r="S30" s="24" t="s">
        <v>54</v>
      </c>
      <c r="T30" s="218"/>
      <c r="U30" s="197">
        <v>-157.75</v>
      </c>
      <c r="V30" s="323"/>
      <c r="W30" s="197">
        <f t="shared" si="4"/>
        <v>157.75</v>
      </c>
      <c r="X30" s="311"/>
      <c r="Y30" s="311"/>
      <c r="Z30" s="311"/>
      <c r="AA30" s="140"/>
      <c r="AB30" s="140"/>
      <c r="AC30" s="140"/>
      <c r="AD30" s="140"/>
      <c r="AE30" s="252"/>
    </row>
    <row r="31" spans="1:31" ht="16.5" thickBot="1" x14ac:dyDescent="0.3">
      <c r="A31" s="267"/>
      <c r="B31" s="87"/>
      <c r="C31" s="191"/>
      <c r="D31" s="28">
        <f>SUM(D12:D30)</f>
        <v>194908.52999999994</v>
      </c>
      <c r="E31" s="28">
        <f t="shared" ref="E31:K31" si="8">SUM(E12:E30)</f>
        <v>803.81000000000006</v>
      </c>
      <c r="F31" s="28">
        <f t="shared" si="8"/>
        <v>6654.2899999999991</v>
      </c>
      <c r="G31" s="28">
        <f t="shared" si="8"/>
        <v>41146.660000000003</v>
      </c>
      <c r="H31" s="28">
        <f t="shared" si="8"/>
        <v>1446.1900000000003</v>
      </c>
      <c r="I31" s="28">
        <f t="shared" si="8"/>
        <v>4797.82</v>
      </c>
      <c r="J31" s="28">
        <f t="shared" si="8"/>
        <v>0</v>
      </c>
      <c r="K31" s="28">
        <f t="shared" si="8"/>
        <v>0</v>
      </c>
      <c r="L31" s="178">
        <f>SUM(L12:L30)</f>
        <v>249757.30000000005</v>
      </c>
      <c r="M31" s="259">
        <v>249757.3</v>
      </c>
      <c r="N31" s="260"/>
      <c r="O31" s="260"/>
      <c r="P31" s="260"/>
      <c r="Q31" s="263"/>
      <c r="R31" s="267"/>
      <c r="S31" s="87"/>
      <c r="T31" s="192">
        <f>SUM(T12:T30)</f>
        <v>261614</v>
      </c>
      <c r="U31" s="192">
        <f>SUM(U12:U30)</f>
        <v>249757.30000000005</v>
      </c>
      <c r="V31" s="320">
        <f>(U31/T31)*100</f>
        <v>95.467864869617088</v>
      </c>
      <c r="W31" s="197">
        <f>T31-U31</f>
        <v>11856.699999999953</v>
      </c>
      <c r="X31" s="311"/>
      <c r="Y31" s="311"/>
      <c r="Z31" s="311"/>
      <c r="AA31" s="140"/>
      <c r="AB31" s="140"/>
      <c r="AC31" s="140"/>
      <c r="AD31" s="140"/>
      <c r="AE31" s="252"/>
    </row>
    <row r="32" spans="1:31" ht="16.5" thickBot="1" x14ac:dyDescent="0.3">
      <c r="A32" s="250"/>
      <c r="B32" s="268"/>
      <c r="C32" s="140"/>
      <c r="D32" s="268"/>
      <c r="E32" s="140"/>
      <c r="F32" s="269"/>
      <c r="G32" s="270"/>
      <c r="H32" s="270"/>
      <c r="I32" s="205"/>
      <c r="J32" s="205"/>
      <c r="K32" s="161"/>
      <c r="L32" s="88">
        <f>SUM(D31:K31)</f>
        <v>249757.29999999996</v>
      </c>
      <c r="M32" s="260"/>
      <c r="N32" s="260"/>
      <c r="O32" s="260"/>
      <c r="P32" s="260"/>
      <c r="Q32" s="263"/>
      <c r="R32" s="312"/>
      <c r="S32" s="260"/>
      <c r="T32" s="199"/>
      <c r="U32" s="311"/>
      <c r="V32" s="311"/>
      <c r="W32" s="311"/>
      <c r="X32" s="311"/>
      <c r="Y32" s="311"/>
      <c r="Z32" s="311"/>
      <c r="AA32" s="140"/>
      <c r="AB32" s="140"/>
      <c r="AC32" s="140"/>
      <c r="AD32" s="140"/>
      <c r="AE32" s="252"/>
    </row>
    <row r="33" spans="1:31" x14ac:dyDescent="0.25">
      <c r="A33" s="271" t="s">
        <v>55</v>
      </c>
      <c r="B33" s="34" t="s">
        <v>56</v>
      </c>
      <c r="C33" s="140"/>
      <c r="D33" s="140"/>
      <c r="E33" s="34"/>
      <c r="F33" s="34"/>
      <c r="G33" s="34"/>
      <c r="H33" s="34"/>
      <c r="I33" s="34"/>
      <c r="J33" s="34"/>
      <c r="K33" s="34"/>
      <c r="L33" s="161"/>
      <c r="M33" s="161"/>
      <c r="N33" s="260"/>
      <c r="O33" s="260"/>
      <c r="P33" s="272"/>
      <c r="Q33" s="273"/>
      <c r="R33" s="312"/>
      <c r="S33" s="260"/>
      <c r="T33" s="199"/>
      <c r="U33" s="311"/>
      <c r="V33" s="311"/>
      <c r="W33" s="311"/>
      <c r="X33" s="311"/>
      <c r="Y33" s="311"/>
      <c r="Z33" s="311"/>
      <c r="AA33" s="140"/>
      <c r="AB33" s="140"/>
      <c r="AC33" s="140"/>
      <c r="AD33" s="140"/>
      <c r="AE33" s="252"/>
    </row>
    <row r="34" spans="1:31" x14ac:dyDescent="0.25">
      <c r="A34" s="274" t="s">
        <v>57</v>
      </c>
      <c r="B34" s="140"/>
      <c r="C34" s="140"/>
      <c r="D34" s="140"/>
      <c r="E34" s="34"/>
      <c r="F34" s="34"/>
      <c r="G34" s="34"/>
      <c r="H34" s="34"/>
      <c r="I34" s="34"/>
      <c r="J34" s="34"/>
      <c r="K34" s="34"/>
      <c r="L34" s="34"/>
      <c r="M34" s="34"/>
      <c r="N34" s="205"/>
      <c r="O34" s="205"/>
      <c r="P34" s="272"/>
      <c r="Q34" s="273"/>
      <c r="R34" s="312"/>
      <c r="S34" s="260"/>
      <c r="T34" s="199"/>
      <c r="U34" s="311"/>
      <c r="V34" s="311"/>
      <c r="W34" s="311"/>
      <c r="X34" s="311"/>
      <c r="Y34" s="311"/>
      <c r="Z34" s="311"/>
      <c r="AA34" s="140"/>
      <c r="AB34" s="140"/>
      <c r="AC34" s="140"/>
      <c r="AD34" s="140"/>
      <c r="AE34" s="252"/>
    </row>
    <row r="35" spans="1:31" ht="16.5" thickBot="1" x14ac:dyDescent="0.3">
      <c r="A35" s="274" t="s">
        <v>58</v>
      </c>
      <c r="B35" s="140"/>
      <c r="C35" s="140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205"/>
      <c r="O35" s="205"/>
      <c r="P35" s="251"/>
      <c r="Q35" s="252"/>
      <c r="R35" s="300"/>
      <c r="S35" s="301"/>
      <c r="T35" s="313"/>
      <c r="U35" s="313"/>
      <c r="V35" s="313"/>
      <c r="W35" s="313"/>
      <c r="X35" s="313"/>
      <c r="Y35" s="313"/>
      <c r="Z35" s="313"/>
      <c r="AA35" s="301"/>
      <c r="AB35" s="301"/>
      <c r="AC35" s="301"/>
      <c r="AD35" s="301"/>
      <c r="AE35" s="304"/>
    </row>
    <row r="36" spans="1:31" x14ac:dyDescent="0.25">
      <c r="A36" s="57" t="s">
        <v>59</v>
      </c>
      <c r="B36" s="155"/>
      <c r="C36" s="305"/>
      <c r="D36" s="158" t="s">
        <v>60</v>
      </c>
      <c r="E36" s="306" t="s">
        <v>4</v>
      </c>
      <c r="F36" s="305"/>
      <c r="G36" s="306"/>
      <c r="H36" s="307" t="s">
        <v>6</v>
      </c>
      <c r="I36" s="308"/>
      <c r="J36" s="309" t="s">
        <v>61</v>
      </c>
      <c r="K36" s="155" t="s">
        <v>62</v>
      </c>
      <c r="L36" s="155" t="s">
        <v>63</v>
      </c>
      <c r="M36" s="207" t="s">
        <v>89</v>
      </c>
      <c r="N36" s="247"/>
      <c r="O36" s="247"/>
      <c r="P36" s="248"/>
      <c r="Q36" s="249"/>
    </row>
    <row r="37" spans="1:31" ht="16.5" thickBot="1" x14ac:dyDescent="0.3">
      <c r="A37" s="208" t="s">
        <v>65</v>
      </c>
      <c r="B37" s="99"/>
      <c r="C37" s="100"/>
      <c r="D37" s="100"/>
      <c r="E37" s="100"/>
      <c r="F37" s="100"/>
      <c r="G37" s="100"/>
      <c r="H37" s="100"/>
      <c r="I37" s="101" t="s">
        <v>80</v>
      </c>
      <c r="J37" s="140"/>
      <c r="K37" s="102" t="s">
        <v>66</v>
      </c>
      <c r="L37" s="102" t="s">
        <v>66</v>
      </c>
      <c r="M37" s="102" t="s">
        <v>66</v>
      </c>
      <c r="N37" s="205"/>
      <c r="O37" s="205"/>
      <c r="P37" s="251"/>
      <c r="Q37" s="252"/>
    </row>
    <row r="38" spans="1:31" x14ac:dyDescent="0.25">
      <c r="A38" s="275"/>
      <c r="B38" s="104" t="s">
        <v>16</v>
      </c>
      <c r="C38" s="105">
        <v>50</v>
      </c>
      <c r="D38" s="106"/>
      <c r="E38" s="107" t="s">
        <v>55</v>
      </c>
      <c r="F38" s="108" t="s">
        <v>67</v>
      </c>
      <c r="G38" s="108"/>
      <c r="H38" s="108"/>
      <c r="I38" s="108"/>
      <c r="J38" s="108"/>
      <c r="K38" s="109">
        <v>77.760000000000005</v>
      </c>
      <c r="L38" s="184">
        <f>O45</f>
        <v>1517.2800000000002</v>
      </c>
      <c r="M38" s="109">
        <f>SUM(K38:L38)</f>
        <v>1595.0400000000002</v>
      </c>
      <c r="N38" s="205"/>
      <c r="O38" s="205"/>
      <c r="P38" s="251"/>
      <c r="Q38" s="252"/>
    </row>
    <row r="39" spans="1:31" x14ac:dyDescent="0.25">
      <c r="A39" s="275"/>
      <c r="B39" s="110" t="s">
        <v>18</v>
      </c>
      <c r="C39" s="111" t="s">
        <v>17</v>
      </c>
      <c r="D39" s="106" t="s">
        <v>68</v>
      </c>
      <c r="E39" s="106"/>
      <c r="F39" s="108"/>
      <c r="G39" s="108"/>
      <c r="H39" s="108"/>
      <c r="I39" s="108"/>
      <c r="J39" s="108"/>
      <c r="K39" s="109">
        <v>38555.160000000003</v>
      </c>
      <c r="L39" s="184">
        <f>O46</f>
        <v>123805.55</v>
      </c>
      <c r="M39" s="109">
        <f t="shared" ref="M39:M40" si="9">SUM(K39:L39)</f>
        <v>162360.71000000002</v>
      </c>
      <c r="N39" s="205"/>
      <c r="O39" s="205"/>
      <c r="P39" s="251"/>
      <c r="Q39" s="252"/>
    </row>
    <row r="40" spans="1:31" ht="16.5" thickBot="1" x14ac:dyDescent="0.3">
      <c r="A40" s="275"/>
      <c r="B40" s="112" t="s">
        <v>20</v>
      </c>
      <c r="C40" s="113" t="s">
        <v>19</v>
      </c>
      <c r="D40" s="114" t="s">
        <v>69</v>
      </c>
      <c r="E40" s="114"/>
      <c r="F40" s="115"/>
      <c r="G40" s="115"/>
      <c r="H40" s="115"/>
      <c r="I40" s="115"/>
      <c r="J40" s="115"/>
      <c r="K40" s="109">
        <v>9408.9699999999993</v>
      </c>
      <c r="L40" s="184">
        <f>O47</f>
        <v>47926.080000000009</v>
      </c>
      <c r="M40" s="109">
        <f t="shared" si="9"/>
        <v>57335.05000000001</v>
      </c>
      <c r="N40" s="205"/>
      <c r="O40" s="205"/>
      <c r="P40" s="251"/>
      <c r="Q40" s="252"/>
    </row>
    <row r="41" spans="1:31" ht="16.5" thickBot="1" x14ac:dyDescent="0.3">
      <c r="A41" s="276"/>
      <c r="B41" s="33"/>
      <c r="C41" s="117"/>
      <c r="D41" s="100"/>
      <c r="E41" s="100"/>
      <c r="F41" s="118"/>
      <c r="G41" s="118"/>
      <c r="H41" s="118"/>
      <c r="I41" s="118"/>
      <c r="J41" s="118"/>
      <c r="K41" s="56">
        <f>SUM(K38:K40)</f>
        <v>48041.890000000007</v>
      </c>
      <c r="L41" s="185">
        <f>SUM(L38:L40)</f>
        <v>173248.91</v>
      </c>
      <c r="M41" s="119">
        <f>SUM(K41:L41)</f>
        <v>221290.80000000002</v>
      </c>
      <c r="N41" s="260"/>
      <c r="O41" s="260"/>
      <c r="P41" s="277"/>
      <c r="Q41" s="278"/>
    </row>
    <row r="42" spans="1:31" ht="16.5" thickBot="1" x14ac:dyDescent="0.3">
      <c r="A42" s="279"/>
      <c r="B42" s="280"/>
      <c r="C42" s="156">
        <v>55</v>
      </c>
      <c r="D42" s="280"/>
      <c r="E42" s="280"/>
      <c r="F42" s="115"/>
      <c r="G42" s="115"/>
      <c r="H42" s="115"/>
      <c r="I42" s="115"/>
      <c r="J42" s="115"/>
      <c r="K42" s="56">
        <v>6498.32</v>
      </c>
      <c r="L42" s="56">
        <f>O70</f>
        <v>384696.28</v>
      </c>
      <c r="M42" s="119">
        <f>SUM(K42:L42)</f>
        <v>391194.60000000003</v>
      </c>
      <c r="N42" s="281">
        <v>391194.6</v>
      </c>
      <c r="O42" s="282"/>
      <c r="P42" s="283"/>
      <c r="Q42" s="284"/>
    </row>
    <row r="43" spans="1:31" x14ac:dyDescent="0.25">
      <c r="A43" s="285" t="s">
        <v>70</v>
      </c>
      <c r="B43" s="286"/>
      <c r="C43" s="286"/>
      <c r="D43" s="246"/>
      <c r="E43" s="246"/>
      <c r="F43" s="287"/>
      <c r="G43" s="286" t="s">
        <v>2</v>
      </c>
      <c r="H43" s="287"/>
      <c r="I43" s="288" t="s">
        <v>82</v>
      </c>
      <c r="J43" s="287"/>
      <c r="K43" s="287"/>
      <c r="L43" s="287"/>
      <c r="M43" s="287"/>
      <c r="N43" s="289"/>
      <c r="O43" s="289"/>
      <c r="P43" s="290"/>
      <c r="Q43" s="291"/>
      <c r="R43" s="285" t="s">
        <v>70</v>
      </c>
      <c r="S43" s="286"/>
      <c r="T43" s="310"/>
      <c r="U43" s="310"/>
      <c r="V43" s="310"/>
      <c r="W43" s="310"/>
      <c r="X43" s="310"/>
      <c r="Y43" s="310"/>
      <c r="Z43" s="310"/>
      <c r="AA43" s="244"/>
      <c r="AB43" s="244"/>
      <c r="AC43" s="244"/>
      <c r="AD43" s="244"/>
      <c r="AE43" s="249"/>
    </row>
    <row r="44" spans="1:31" ht="77.25" x14ac:dyDescent="0.25">
      <c r="A44" s="253" t="s">
        <v>7</v>
      </c>
      <c r="B44" s="126" t="s">
        <v>8</v>
      </c>
      <c r="C44" s="7" t="s">
        <v>9</v>
      </c>
      <c r="D44" s="127" t="s">
        <v>71</v>
      </c>
      <c r="E44" s="8" t="s">
        <v>10</v>
      </c>
      <c r="F44" s="127" t="s">
        <v>72</v>
      </c>
      <c r="G44" s="127" t="s">
        <v>73</v>
      </c>
      <c r="H44" s="7" t="s">
        <v>74</v>
      </c>
      <c r="I44" s="7" t="s">
        <v>12</v>
      </c>
      <c r="J44" s="7" t="s">
        <v>13</v>
      </c>
      <c r="K44" s="182" t="s">
        <v>85</v>
      </c>
      <c r="L44" s="7" t="s">
        <v>86</v>
      </c>
      <c r="M44" s="7" t="s">
        <v>87</v>
      </c>
      <c r="N44" s="128" t="s">
        <v>76</v>
      </c>
      <c r="O44" s="129" t="s">
        <v>15</v>
      </c>
      <c r="P44" s="251"/>
      <c r="Q44" s="252"/>
      <c r="R44" s="253" t="s">
        <v>7</v>
      </c>
      <c r="S44" s="126" t="s">
        <v>8</v>
      </c>
      <c r="T44" s="194" t="s">
        <v>91</v>
      </c>
      <c r="U44" s="194" t="s">
        <v>92</v>
      </c>
      <c r="V44" s="316" t="s">
        <v>93</v>
      </c>
      <c r="W44" s="194" t="s">
        <v>94</v>
      </c>
      <c r="X44" s="311"/>
      <c r="Y44" s="311"/>
      <c r="Z44" s="311"/>
      <c r="AA44" s="140"/>
      <c r="AB44" s="140"/>
      <c r="AC44" s="140"/>
      <c r="AD44" s="140"/>
      <c r="AE44" s="252"/>
    </row>
    <row r="45" spans="1:31" x14ac:dyDescent="0.25">
      <c r="A45" s="256">
        <v>50</v>
      </c>
      <c r="B45" s="130" t="s">
        <v>16</v>
      </c>
      <c r="C45" s="131">
        <f>1097.69+1.2</f>
        <v>1098.8900000000001</v>
      </c>
      <c r="D45" s="132">
        <v>112.77</v>
      </c>
      <c r="E45" s="132"/>
      <c r="F45" s="132">
        <f>15.15</f>
        <v>15.15</v>
      </c>
      <c r="G45" s="132"/>
      <c r="H45" s="132"/>
      <c r="I45" s="132">
        <f>9.07+1.2</f>
        <v>10.27</v>
      </c>
      <c r="J45" s="132">
        <v>280.2</v>
      </c>
      <c r="K45" s="172"/>
      <c r="L45" s="17"/>
      <c r="M45" s="17"/>
      <c r="N45" s="132"/>
      <c r="O45" s="133">
        <f>SUM(C45:N45)</f>
        <v>1517.2800000000002</v>
      </c>
      <c r="P45" s="292">
        <v>1517.28</v>
      </c>
      <c r="Q45" s="293"/>
      <c r="R45" s="256">
        <v>50</v>
      </c>
      <c r="S45" s="130" t="s">
        <v>16</v>
      </c>
      <c r="T45" s="196"/>
      <c r="U45" s="133">
        <v>1517.2800000000002</v>
      </c>
      <c r="V45" s="324"/>
      <c r="W45" s="172"/>
      <c r="X45" s="311"/>
      <c r="Y45" s="311"/>
      <c r="Z45" s="311"/>
      <c r="AA45" s="140"/>
      <c r="AB45" s="140"/>
      <c r="AC45" s="140"/>
      <c r="AD45" s="140"/>
      <c r="AE45" s="252"/>
    </row>
    <row r="46" spans="1:31" x14ac:dyDescent="0.25">
      <c r="A46" s="256" t="s">
        <v>17</v>
      </c>
      <c r="B46" s="134" t="s">
        <v>18</v>
      </c>
      <c r="C46" s="131">
        <f>1466.18+198.98</f>
        <v>1665.16</v>
      </c>
      <c r="D46" s="13">
        <f>11019.88+510.29</f>
        <v>11530.17</v>
      </c>
      <c r="E46" s="13">
        <f>11316.34+182.37</f>
        <v>11498.710000000001</v>
      </c>
      <c r="F46" s="13">
        <f>55438.78+5761.01</f>
        <v>61199.79</v>
      </c>
      <c r="G46" s="13">
        <f>11738.86+610.87</f>
        <v>12349.730000000001</v>
      </c>
      <c r="H46" s="13">
        <f>1164.59+239.68</f>
        <v>1404.27</v>
      </c>
      <c r="I46" s="13">
        <f>1971.21+769.84</f>
        <v>2741.05</v>
      </c>
      <c r="J46" s="13">
        <f>20975.12</f>
        <v>20975.119999999999</v>
      </c>
      <c r="K46" s="173">
        <f>90.72</f>
        <v>90.72</v>
      </c>
      <c r="L46" s="45"/>
      <c r="M46" s="45">
        <f>350.83</f>
        <v>350.83</v>
      </c>
      <c r="N46" s="13"/>
      <c r="O46" s="29">
        <f>SUM(C46:N46)</f>
        <v>123805.55</v>
      </c>
      <c r="P46" s="292">
        <v>123805.55</v>
      </c>
      <c r="Q46" s="278"/>
      <c r="R46" s="256" t="s">
        <v>17</v>
      </c>
      <c r="S46" s="134" t="s">
        <v>18</v>
      </c>
      <c r="T46" s="195"/>
      <c r="U46" s="29">
        <v>123805.55</v>
      </c>
      <c r="V46" s="325"/>
      <c r="W46" s="173"/>
      <c r="X46" s="311"/>
      <c r="Y46" s="311"/>
      <c r="Z46" s="311"/>
      <c r="AA46" s="140"/>
      <c r="AB46" s="140"/>
      <c r="AC46" s="140"/>
      <c r="AD46" s="140"/>
      <c r="AE46" s="252"/>
    </row>
    <row r="47" spans="1:31" ht="16.5" thickBot="1" x14ac:dyDescent="0.3">
      <c r="A47" s="294" t="s">
        <v>19</v>
      </c>
      <c r="B47" s="136" t="s">
        <v>20</v>
      </c>
      <c r="C47" s="131">
        <f>1210.64+218.59</f>
        <v>1429.23</v>
      </c>
      <c r="D47" s="13">
        <v>4250.83</v>
      </c>
      <c r="E47" s="16">
        <v>4190.96</v>
      </c>
      <c r="F47" s="16">
        <v>20835.87</v>
      </c>
      <c r="G47" s="13">
        <v>4080.86</v>
      </c>
      <c r="H47" s="13">
        <v>799.68</v>
      </c>
      <c r="I47" s="13">
        <f>1354.64+43.52</f>
        <v>1398.16</v>
      </c>
      <c r="J47" s="13">
        <v>10338.370000000001</v>
      </c>
      <c r="K47" s="176">
        <f>5.76</f>
        <v>5.76</v>
      </c>
      <c r="L47" s="86"/>
      <c r="M47" s="86">
        <f>596.36</f>
        <v>596.36</v>
      </c>
      <c r="N47" s="13"/>
      <c r="O47" s="29">
        <f>SUM(C47:N47)</f>
        <v>47926.080000000009</v>
      </c>
      <c r="P47" s="292">
        <v>47926.080000000002</v>
      </c>
      <c r="Q47" s="293"/>
      <c r="R47" s="294" t="s">
        <v>19</v>
      </c>
      <c r="S47" s="136" t="s">
        <v>20</v>
      </c>
      <c r="T47" s="197"/>
      <c r="U47" s="29">
        <v>47926.080000000009</v>
      </c>
      <c r="V47" s="326"/>
      <c r="W47" s="176"/>
      <c r="X47" s="311"/>
      <c r="Y47" s="311"/>
      <c r="Z47" s="311"/>
      <c r="AA47" s="140"/>
      <c r="AB47" s="140"/>
      <c r="AC47" s="140"/>
      <c r="AD47" s="140"/>
      <c r="AE47" s="252"/>
    </row>
    <row r="48" spans="1:31" ht="16.5" thickBot="1" x14ac:dyDescent="0.3">
      <c r="A48" s="258"/>
      <c r="B48" s="137"/>
      <c r="C48" s="84">
        <f>SUM(C45:C47)</f>
        <v>4193.2800000000007</v>
      </c>
      <c r="D48" s="84">
        <f t="shared" ref="D48:J48" si="10">SUM(D45:D47)</f>
        <v>15893.77</v>
      </c>
      <c r="E48" s="84">
        <f t="shared" si="10"/>
        <v>15689.670000000002</v>
      </c>
      <c r="F48" s="84">
        <f t="shared" si="10"/>
        <v>82050.81</v>
      </c>
      <c r="G48" s="84">
        <f t="shared" si="10"/>
        <v>16430.59</v>
      </c>
      <c r="H48" s="84">
        <f t="shared" si="10"/>
        <v>2203.9499999999998</v>
      </c>
      <c r="I48" s="84">
        <f t="shared" si="10"/>
        <v>4149.4800000000005</v>
      </c>
      <c r="J48" s="84">
        <f t="shared" si="10"/>
        <v>31593.690000000002</v>
      </c>
      <c r="K48" s="164">
        <f>SUM(K46:K47)</f>
        <v>96.48</v>
      </c>
      <c r="L48" s="84">
        <f>SUM(L45:L47)</f>
        <v>0</v>
      </c>
      <c r="M48" s="84">
        <f>SUM(M45:M47)</f>
        <v>947.19</v>
      </c>
      <c r="N48" s="138">
        <f>SUM(N45:N47)</f>
        <v>0</v>
      </c>
      <c r="O48" s="139">
        <f>SUM(O45:O47)</f>
        <v>173248.91</v>
      </c>
      <c r="P48" s="292">
        <f>SUM(P45:P47)</f>
        <v>173248.91</v>
      </c>
      <c r="Q48" s="293"/>
      <c r="R48" s="258"/>
      <c r="S48" s="137"/>
      <c r="T48" s="192">
        <v>260000</v>
      </c>
      <c r="U48" s="139">
        <v>173248.91</v>
      </c>
      <c r="V48" s="320">
        <f>(U48/T48)*100</f>
        <v>66.634196153846162</v>
      </c>
      <c r="W48" s="197">
        <f>T48-U48</f>
        <v>86751.09</v>
      </c>
      <c r="X48" s="311"/>
      <c r="Y48" s="311"/>
      <c r="Z48" s="311"/>
      <c r="AA48" s="140"/>
      <c r="AB48" s="140"/>
      <c r="AC48" s="140"/>
      <c r="AD48" s="140"/>
      <c r="AE48" s="252"/>
    </row>
    <row r="49" spans="1:31" ht="16.5" thickBot="1" x14ac:dyDescent="0.3">
      <c r="A49" s="295" t="s">
        <v>21</v>
      </c>
      <c r="B49" s="35"/>
      <c r="C49" s="140"/>
      <c r="D49" s="35"/>
      <c r="E49" s="35"/>
      <c r="F49" s="35"/>
      <c r="G49" s="35"/>
      <c r="H49" s="35"/>
      <c r="I49" s="35"/>
      <c r="J49" s="35"/>
      <c r="K49" s="140"/>
      <c r="L49" s="34"/>
      <c r="M49" s="205"/>
      <c r="N49" s="35"/>
      <c r="O49" s="141">
        <f>SUM(C48:N48)</f>
        <v>173248.91000000003</v>
      </c>
      <c r="P49" s="277"/>
      <c r="Q49" s="278"/>
      <c r="R49" s="295" t="s">
        <v>21</v>
      </c>
      <c r="S49" s="35"/>
      <c r="T49" s="202"/>
      <c r="U49" s="311"/>
      <c r="V49" s="327"/>
      <c r="W49" s="311"/>
      <c r="X49" s="311"/>
      <c r="Y49" s="311"/>
      <c r="Z49" s="311"/>
      <c r="AA49" s="140"/>
      <c r="AB49" s="140"/>
      <c r="AC49" s="140"/>
      <c r="AD49" s="140"/>
      <c r="AE49" s="252"/>
    </row>
    <row r="50" spans="1:31" x14ac:dyDescent="0.25">
      <c r="A50" s="264">
        <v>5500</v>
      </c>
      <c r="B50" s="42" t="s">
        <v>22</v>
      </c>
      <c r="C50" s="13">
        <f>1083.59+1300.2-21.85</f>
        <v>2361.94</v>
      </c>
      <c r="D50" s="296">
        <f>517.71+188.49</f>
        <v>706.2</v>
      </c>
      <c r="E50" s="13">
        <f>877.84+0.61</f>
        <v>878.45</v>
      </c>
      <c r="F50" s="296">
        <f>625.3+49.65</f>
        <v>674.94999999999993</v>
      </c>
      <c r="G50" s="13">
        <f>222.29</f>
        <v>222.29</v>
      </c>
      <c r="H50" s="296">
        <f>1331.22+61.88</f>
        <v>1393.1000000000001</v>
      </c>
      <c r="I50" s="13">
        <f>627.06+61.35</f>
        <v>688.41</v>
      </c>
      <c r="J50" s="296">
        <f>3286.9+242.02</f>
        <v>3528.92</v>
      </c>
      <c r="K50" s="162"/>
      <c r="L50" s="45"/>
      <c r="M50" s="45"/>
      <c r="N50" s="45"/>
      <c r="O50" s="29">
        <f>SUM(C50:N50)</f>
        <v>10454.26</v>
      </c>
      <c r="P50" s="251"/>
      <c r="Q50" s="252"/>
      <c r="R50" s="264">
        <v>5500</v>
      </c>
      <c r="S50" s="42" t="s">
        <v>22</v>
      </c>
      <c r="T50" s="196">
        <v>56600</v>
      </c>
      <c r="U50" s="196">
        <v>10454.26</v>
      </c>
      <c r="V50" s="328">
        <f t="shared" ref="V50" si="11">(U50/T50)*100</f>
        <v>18.47042402826855</v>
      </c>
      <c r="W50" s="196">
        <f>T50-U50</f>
        <v>46145.74</v>
      </c>
      <c r="X50" s="311"/>
      <c r="Y50" s="311"/>
      <c r="Z50" s="311"/>
      <c r="AA50" s="140"/>
      <c r="AB50" s="140"/>
      <c r="AC50" s="140"/>
      <c r="AD50" s="140"/>
      <c r="AE50" s="252"/>
    </row>
    <row r="51" spans="1:31" x14ac:dyDescent="0.25">
      <c r="A51" s="264">
        <v>5502</v>
      </c>
      <c r="B51" s="42" t="s">
        <v>25</v>
      </c>
      <c r="C51" s="13">
        <f>360</f>
        <v>360</v>
      </c>
      <c r="D51" s="296"/>
      <c r="E51" s="13"/>
      <c r="F51" s="296"/>
      <c r="G51" s="13"/>
      <c r="H51" s="296"/>
      <c r="I51" s="13"/>
      <c r="J51" s="296"/>
      <c r="K51" s="162"/>
      <c r="L51" s="45"/>
      <c r="M51" s="45"/>
      <c r="N51" s="45"/>
      <c r="O51" s="29">
        <f t="shared" ref="O51:O69" si="12">SUM(C51:N51)</f>
        <v>360</v>
      </c>
      <c r="P51" s="251"/>
      <c r="Q51" s="252"/>
      <c r="R51" s="264">
        <v>5502</v>
      </c>
      <c r="S51" s="42" t="s">
        <v>25</v>
      </c>
      <c r="T51" s="195">
        <v>0</v>
      </c>
      <c r="U51" s="195">
        <v>360</v>
      </c>
      <c r="V51" s="323"/>
      <c r="W51" s="195">
        <f t="shared" ref="W51:W69" si="13">T51-U51</f>
        <v>-360</v>
      </c>
      <c r="X51" s="311"/>
      <c r="Y51" s="311"/>
      <c r="Z51" s="311"/>
      <c r="AA51" s="140"/>
      <c r="AB51" s="140"/>
      <c r="AC51" s="140"/>
      <c r="AD51" s="140"/>
      <c r="AE51" s="252"/>
    </row>
    <row r="52" spans="1:31" x14ac:dyDescent="0.25">
      <c r="A52" s="264">
        <v>5503</v>
      </c>
      <c r="B52" s="42" t="s">
        <v>29</v>
      </c>
      <c r="C52" s="13">
        <f>65.15</f>
        <v>65.150000000000006</v>
      </c>
      <c r="D52" s="296">
        <f>82</f>
        <v>82</v>
      </c>
      <c r="E52" s="13">
        <f>355.6</f>
        <v>355.6</v>
      </c>
      <c r="F52" s="296"/>
      <c r="G52" s="13"/>
      <c r="H52" s="296">
        <f>300</f>
        <v>300</v>
      </c>
      <c r="I52" s="13">
        <f>176.45+27.31</f>
        <v>203.76</v>
      </c>
      <c r="J52" s="296">
        <f>19.5</f>
        <v>19.5</v>
      </c>
      <c r="K52" s="162"/>
      <c r="L52" s="45"/>
      <c r="M52" s="45"/>
      <c r="N52" s="45"/>
      <c r="O52" s="29">
        <f t="shared" si="12"/>
        <v>1026.01</v>
      </c>
      <c r="P52" s="251"/>
      <c r="Q52" s="252"/>
      <c r="R52" s="264">
        <v>5503</v>
      </c>
      <c r="S52" s="42" t="s">
        <v>29</v>
      </c>
      <c r="T52" s="195">
        <v>28000</v>
      </c>
      <c r="U52" s="195">
        <v>1026.01</v>
      </c>
      <c r="V52" s="323">
        <f>(U52/T52)*100</f>
        <v>3.6643214285714287</v>
      </c>
      <c r="W52" s="195">
        <f t="shared" si="13"/>
        <v>26973.99</v>
      </c>
      <c r="X52" s="311"/>
      <c r="Y52" s="311"/>
      <c r="Z52" s="311"/>
      <c r="AA52" s="140"/>
      <c r="AB52" s="140"/>
      <c r="AC52" s="140"/>
      <c r="AD52" s="140"/>
      <c r="AE52" s="252"/>
    </row>
    <row r="53" spans="1:31" x14ac:dyDescent="0.25">
      <c r="A53" s="264">
        <v>5504</v>
      </c>
      <c r="B53" s="42" t="s">
        <v>32</v>
      </c>
      <c r="C53" s="13">
        <f>325.99+444.7</f>
        <v>770.69</v>
      </c>
      <c r="D53" s="296"/>
      <c r="E53" s="162"/>
      <c r="F53" s="296">
        <f>272.22</f>
        <v>272.22000000000003</v>
      </c>
      <c r="G53" s="13">
        <f>146.58</f>
        <v>146.58000000000001</v>
      </c>
      <c r="H53" s="296">
        <f>360</f>
        <v>360</v>
      </c>
      <c r="I53" s="13">
        <f>114+38.81</f>
        <v>152.81</v>
      </c>
      <c r="J53" s="296">
        <f>696+190.8</f>
        <v>886.8</v>
      </c>
      <c r="K53" s="162"/>
      <c r="L53" s="45"/>
      <c r="M53" s="183">
        <f>920</f>
        <v>920</v>
      </c>
      <c r="N53" s="45"/>
      <c r="O53" s="29">
        <f t="shared" si="12"/>
        <v>3509.1</v>
      </c>
      <c r="P53" s="251"/>
      <c r="Q53" s="252"/>
      <c r="R53" s="264">
        <v>5504</v>
      </c>
      <c r="S53" s="42" t="s">
        <v>32</v>
      </c>
      <c r="T53" s="195">
        <v>25500</v>
      </c>
      <c r="U53" s="195">
        <v>3509.1</v>
      </c>
      <c r="V53" s="323">
        <f t="shared" ref="V53:V54" si="14">(U53/T53)*100</f>
        <v>13.761176470588236</v>
      </c>
      <c r="W53" s="195">
        <f t="shared" si="13"/>
        <v>21990.9</v>
      </c>
      <c r="X53" s="311"/>
      <c r="Y53" s="311"/>
      <c r="Z53" s="311"/>
      <c r="AA53" s="140"/>
      <c r="AB53" s="140"/>
      <c r="AC53" s="140"/>
      <c r="AD53" s="140"/>
      <c r="AE53" s="252"/>
    </row>
    <row r="54" spans="1:31" x14ac:dyDescent="0.25">
      <c r="A54" s="264">
        <v>5511</v>
      </c>
      <c r="B54" s="42" t="s">
        <v>34</v>
      </c>
      <c r="C54" s="13">
        <f>19143.51+12516.89</f>
        <v>31660.399999999998</v>
      </c>
      <c r="D54" s="296">
        <f>3.11</f>
        <v>3.11</v>
      </c>
      <c r="E54" s="13">
        <f>1531.26+318.52</f>
        <v>1849.78</v>
      </c>
      <c r="F54" s="296">
        <f>46237.82+3822.39</f>
        <v>50060.21</v>
      </c>
      <c r="G54" s="13">
        <f>20698.42+2058.2</f>
        <v>22756.62</v>
      </c>
      <c r="H54" s="296">
        <f>13.8</f>
        <v>13.8</v>
      </c>
      <c r="I54" s="13">
        <f>74.26</f>
        <v>74.260000000000005</v>
      </c>
      <c r="J54" s="296"/>
      <c r="K54" s="162"/>
      <c r="L54" s="45"/>
      <c r="M54" s="45"/>
      <c r="N54" s="45"/>
      <c r="O54" s="29">
        <f t="shared" si="12"/>
        <v>106418.18</v>
      </c>
      <c r="P54" s="251"/>
      <c r="Q54" s="252"/>
      <c r="R54" s="264">
        <v>5511</v>
      </c>
      <c r="S54" s="42" t="s">
        <v>34</v>
      </c>
      <c r="T54" s="195">
        <v>228000</v>
      </c>
      <c r="U54" s="195">
        <v>106418.18</v>
      </c>
      <c r="V54" s="323">
        <f t="shared" si="14"/>
        <v>46.674640350877191</v>
      </c>
      <c r="W54" s="195">
        <f t="shared" si="13"/>
        <v>121581.82</v>
      </c>
      <c r="X54" s="311"/>
      <c r="Y54" s="311"/>
      <c r="Z54" s="311"/>
      <c r="AA54" s="140"/>
      <c r="AB54" s="140"/>
      <c r="AC54" s="140"/>
      <c r="AD54" s="140"/>
      <c r="AE54" s="252"/>
    </row>
    <row r="55" spans="1:31" x14ac:dyDescent="0.25">
      <c r="A55" s="264">
        <v>5512</v>
      </c>
      <c r="B55" s="42" t="s">
        <v>36</v>
      </c>
      <c r="C55" s="13">
        <f>303.52</f>
        <v>303.52</v>
      </c>
      <c r="D55" s="140"/>
      <c r="E55" s="13"/>
      <c r="F55" s="296"/>
      <c r="G55" s="13"/>
      <c r="H55" s="296"/>
      <c r="I55" s="13"/>
      <c r="J55" s="296"/>
      <c r="K55" s="162"/>
      <c r="L55" s="45"/>
      <c r="M55" s="45"/>
      <c r="N55" s="45"/>
      <c r="O55" s="29">
        <f t="shared" si="12"/>
        <v>303.52</v>
      </c>
      <c r="P55" s="251"/>
      <c r="Q55" s="252"/>
      <c r="R55" s="264">
        <v>5512</v>
      </c>
      <c r="S55" s="42" t="s">
        <v>36</v>
      </c>
      <c r="T55" s="200"/>
      <c r="U55" s="195">
        <v>303.52</v>
      </c>
      <c r="V55" s="323"/>
      <c r="W55" s="195">
        <f t="shared" si="13"/>
        <v>-303.52</v>
      </c>
      <c r="X55" s="311"/>
      <c r="Y55" s="311"/>
      <c r="Z55" s="311"/>
      <c r="AA55" s="140"/>
      <c r="AB55" s="140"/>
      <c r="AC55" s="140"/>
      <c r="AD55" s="140"/>
      <c r="AE55" s="252"/>
    </row>
    <row r="56" spans="1:31" x14ac:dyDescent="0.25">
      <c r="A56" s="264">
        <v>5513</v>
      </c>
      <c r="B56" s="42" t="s">
        <v>38</v>
      </c>
      <c r="C56" s="13">
        <f>3201.93+880.21</f>
        <v>4082.14</v>
      </c>
      <c r="D56" s="296">
        <f>2958.13+338.69</f>
        <v>3296.82</v>
      </c>
      <c r="E56" s="13">
        <f>8436.12+962.18</f>
        <v>9398.3000000000011</v>
      </c>
      <c r="F56" s="296">
        <f>334.19+47.7</f>
        <v>381.89</v>
      </c>
      <c r="G56" s="16">
        <f>2757.88</f>
        <v>2757.88</v>
      </c>
      <c r="H56" s="296"/>
      <c r="I56" s="13">
        <v>191.58</v>
      </c>
      <c r="J56" s="296">
        <f>29.53+37.05</f>
        <v>66.58</v>
      </c>
      <c r="K56" s="162"/>
      <c r="L56" s="45"/>
      <c r="M56" s="45"/>
      <c r="N56" s="45"/>
      <c r="O56" s="29">
        <f t="shared" si="12"/>
        <v>20175.190000000006</v>
      </c>
      <c r="P56" s="251"/>
      <c r="Q56" s="252"/>
      <c r="R56" s="264">
        <v>5513</v>
      </c>
      <c r="S56" s="42" t="s">
        <v>38</v>
      </c>
      <c r="T56" s="195">
        <v>29500</v>
      </c>
      <c r="U56" s="195">
        <v>20175.190000000006</v>
      </c>
      <c r="V56" s="323">
        <f t="shared" ref="V56:V59" si="15">(U56/T56)*100</f>
        <v>68.390474576271203</v>
      </c>
      <c r="W56" s="195">
        <f t="shared" si="13"/>
        <v>9324.809999999994</v>
      </c>
      <c r="X56" s="311"/>
      <c r="Y56" s="311"/>
      <c r="Z56" s="311"/>
      <c r="AA56" s="140"/>
      <c r="AB56" s="140"/>
      <c r="AC56" s="140"/>
      <c r="AD56" s="140"/>
      <c r="AE56" s="252"/>
    </row>
    <row r="57" spans="1:31" x14ac:dyDescent="0.25">
      <c r="A57" s="264">
        <v>5514</v>
      </c>
      <c r="B57" s="42" t="s">
        <v>40</v>
      </c>
      <c r="C57" s="13">
        <f>26156.12+2140.3</f>
        <v>28296.42</v>
      </c>
      <c r="D57" s="296"/>
      <c r="E57" s="13">
        <f>265.44+26.16</f>
        <v>291.60000000000002</v>
      </c>
      <c r="F57" s="296">
        <f>663.05</f>
        <v>663.05</v>
      </c>
      <c r="G57" s="16">
        <f>2481.18+125.41</f>
        <v>2606.5899999999997</v>
      </c>
      <c r="H57" s="296"/>
      <c r="I57" s="13"/>
      <c r="J57" s="296"/>
      <c r="K57" s="162"/>
      <c r="L57" s="16">
        <f>2075</f>
        <v>2075</v>
      </c>
      <c r="M57" s="16"/>
      <c r="N57" s="45"/>
      <c r="O57" s="29">
        <f t="shared" si="12"/>
        <v>33932.659999999996</v>
      </c>
      <c r="P57" s="251"/>
      <c r="Q57" s="252"/>
      <c r="R57" s="264">
        <v>5514</v>
      </c>
      <c r="S57" s="42" t="s">
        <v>40</v>
      </c>
      <c r="T57" s="195">
        <v>52000</v>
      </c>
      <c r="U57" s="195">
        <v>33932.659999999996</v>
      </c>
      <c r="V57" s="323">
        <f t="shared" si="15"/>
        <v>65.25511538461538</v>
      </c>
      <c r="W57" s="195">
        <f t="shared" si="13"/>
        <v>18067.340000000004</v>
      </c>
      <c r="X57" s="311"/>
      <c r="Y57" s="311"/>
      <c r="Z57" s="311"/>
      <c r="AA57" s="140"/>
      <c r="AB57" s="140"/>
      <c r="AC57" s="140"/>
      <c r="AD57" s="140"/>
      <c r="AE57" s="252"/>
    </row>
    <row r="58" spans="1:31" x14ac:dyDescent="0.25">
      <c r="A58" s="264">
        <v>5515</v>
      </c>
      <c r="B58" s="42" t="s">
        <v>42</v>
      </c>
      <c r="C58" s="13">
        <f>212.68+815.26</f>
        <v>1027.94</v>
      </c>
      <c r="D58" s="296">
        <f>4988.67+185.54</f>
        <v>5174.21</v>
      </c>
      <c r="E58" s="13">
        <f>6167.22+510.91</f>
        <v>6678.13</v>
      </c>
      <c r="F58" s="296">
        <f>1925.95+240.03</f>
        <v>2165.98</v>
      </c>
      <c r="G58" s="16">
        <f>10414.35+807.14</f>
        <v>11221.49</v>
      </c>
      <c r="H58" s="296">
        <f>65.09</f>
        <v>65.09</v>
      </c>
      <c r="I58" s="13">
        <f>75.6</f>
        <v>75.599999999999994</v>
      </c>
      <c r="J58" s="296"/>
      <c r="K58" s="162"/>
      <c r="L58" s="45"/>
      <c r="M58" s="45"/>
      <c r="N58" s="45"/>
      <c r="O58" s="29">
        <f t="shared" si="12"/>
        <v>26408.44</v>
      </c>
      <c r="P58" s="251"/>
      <c r="Q58" s="252"/>
      <c r="R58" s="264">
        <v>5515</v>
      </c>
      <c r="S58" s="42" t="s">
        <v>42</v>
      </c>
      <c r="T58" s="195">
        <v>40000</v>
      </c>
      <c r="U58" s="195">
        <v>26408.44</v>
      </c>
      <c r="V58" s="323">
        <f t="shared" si="15"/>
        <v>66.021100000000004</v>
      </c>
      <c r="W58" s="195">
        <f t="shared" si="13"/>
        <v>13591.560000000001</v>
      </c>
      <c r="X58" s="311"/>
      <c r="Y58" s="311"/>
      <c r="Z58" s="311"/>
      <c r="AA58" s="140"/>
      <c r="AB58" s="140"/>
      <c r="AC58" s="140"/>
      <c r="AD58" s="140"/>
      <c r="AE58" s="252"/>
    </row>
    <row r="59" spans="1:31" x14ac:dyDescent="0.25">
      <c r="A59" s="264">
        <v>5516</v>
      </c>
      <c r="B59" s="42" t="s">
        <v>43</v>
      </c>
      <c r="C59" s="13">
        <f>690.72</f>
        <v>690.72</v>
      </c>
      <c r="D59" s="296"/>
      <c r="E59" s="13">
        <f>790.81+109.85</f>
        <v>900.66</v>
      </c>
      <c r="F59" s="296"/>
      <c r="G59" s="13"/>
      <c r="H59" s="296"/>
      <c r="I59" s="13"/>
      <c r="J59" s="296"/>
      <c r="K59" s="162"/>
      <c r="L59" s="45"/>
      <c r="M59" s="45"/>
      <c r="N59" s="45"/>
      <c r="O59" s="29">
        <f t="shared" si="12"/>
        <v>1591.38</v>
      </c>
      <c r="P59" s="251"/>
      <c r="Q59" s="252"/>
      <c r="R59" s="264">
        <v>5516</v>
      </c>
      <c r="S59" s="42" t="s">
        <v>43</v>
      </c>
      <c r="T59" s="195">
        <v>5000</v>
      </c>
      <c r="U59" s="195">
        <v>1591.38</v>
      </c>
      <c r="V59" s="323">
        <f t="shared" si="15"/>
        <v>31.8276</v>
      </c>
      <c r="W59" s="195">
        <f t="shared" si="13"/>
        <v>3408.62</v>
      </c>
      <c r="X59" s="311"/>
      <c r="Y59" s="311"/>
      <c r="Z59" s="311"/>
      <c r="AA59" s="140"/>
      <c r="AB59" s="140"/>
      <c r="AC59" s="140"/>
      <c r="AD59" s="140"/>
      <c r="AE59" s="252"/>
    </row>
    <row r="60" spans="1:31" x14ac:dyDescent="0.25">
      <c r="A60" s="264">
        <v>5521</v>
      </c>
      <c r="B60" s="42" t="s">
        <v>44</v>
      </c>
      <c r="C60" s="13">
        <f>-33.96</f>
        <v>-33.96</v>
      </c>
      <c r="D60" s="296">
        <f>2175.5</f>
        <v>2175.5</v>
      </c>
      <c r="E60" s="13">
        <f>100042.9+20831.67</f>
        <v>120874.56999999999</v>
      </c>
      <c r="F60" s="296"/>
      <c r="G60" s="13"/>
      <c r="H60" s="296">
        <f>-205.57</f>
        <v>-205.57</v>
      </c>
      <c r="I60" s="13">
        <f>14082.11</f>
        <v>14082.11</v>
      </c>
      <c r="J60" s="296"/>
      <c r="K60" s="162"/>
      <c r="L60" s="45"/>
      <c r="M60" s="45"/>
      <c r="N60" s="45"/>
      <c r="O60" s="29">
        <f t="shared" si="12"/>
        <v>136892.64999999997</v>
      </c>
      <c r="P60" s="251"/>
      <c r="Q60" s="252"/>
      <c r="R60" s="264">
        <v>5521</v>
      </c>
      <c r="S60" s="42" t="s">
        <v>44</v>
      </c>
      <c r="T60" s="195">
        <v>147000</v>
      </c>
      <c r="U60" s="195">
        <v>136892.64999999997</v>
      </c>
      <c r="V60" s="323">
        <f t="shared" ref="V60:V63" si="16">(U60/T60)*100</f>
        <v>93.124251700680247</v>
      </c>
      <c r="W60" s="195">
        <f t="shared" si="13"/>
        <v>10107.350000000035</v>
      </c>
      <c r="X60" s="311"/>
      <c r="Y60" s="311"/>
      <c r="Z60" s="311"/>
      <c r="AA60" s="140"/>
      <c r="AB60" s="140"/>
      <c r="AC60" s="140"/>
      <c r="AD60" s="140"/>
      <c r="AE60" s="252"/>
    </row>
    <row r="61" spans="1:31" x14ac:dyDescent="0.25">
      <c r="A61" s="264">
        <v>5522</v>
      </c>
      <c r="B61" s="15" t="s">
        <v>45</v>
      </c>
      <c r="C61" s="13">
        <f>558.18+780.24</f>
        <v>1338.42</v>
      </c>
      <c r="D61" s="296">
        <f>1395.58+83.84</f>
        <v>1479.4199999999998</v>
      </c>
      <c r="E61" s="13">
        <f>1181.18+662.15</f>
        <v>1843.33</v>
      </c>
      <c r="F61" s="296">
        <f>620.93+107.22</f>
        <v>728.15</v>
      </c>
      <c r="G61" s="13">
        <f>353.68+46.94</f>
        <v>400.62</v>
      </c>
      <c r="H61" s="296"/>
      <c r="I61" s="13">
        <f>397.04+406.59</f>
        <v>803.63</v>
      </c>
      <c r="J61" s="296"/>
      <c r="K61" s="162"/>
      <c r="L61" s="45"/>
      <c r="M61" s="45"/>
      <c r="N61" s="45"/>
      <c r="O61" s="29">
        <f t="shared" si="12"/>
        <v>6593.57</v>
      </c>
      <c r="P61" s="251"/>
      <c r="Q61" s="252"/>
      <c r="R61" s="264">
        <v>5522</v>
      </c>
      <c r="S61" s="15" t="s">
        <v>45</v>
      </c>
      <c r="T61" s="195">
        <v>3350</v>
      </c>
      <c r="U61" s="195">
        <v>6593.57</v>
      </c>
      <c r="V61" s="323">
        <f t="shared" si="16"/>
        <v>196.82298507462684</v>
      </c>
      <c r="W61" s="195">
        <f t="shared" si="13"/>
        <v>-3243.5699999999997</v>
      </c>
      <c r="X61" s="311"/>
      <c r="Y61" s="311"/>
      <c r="Z61" s="311"/>
      <c r="AA61" s="140"/>
      <c r="AB61" s="140"/>
      <c r="AC61" s="140"/>
      <c r="AD61" s="140"/>
      <c r="AE61" s="252"/>
    </row>
    <row r="62" spans="1:31" x14ac:dyDescent="0.25">
      <c r="A62" s="264">
        <v>5524</v>
      </c>
      <c r="B62" s="42" t="s">
        <v>47</v>
      </c>
      <c r="C62" s="13">
        <f>50</f>
        <v>50</v>
      </c>
      <c r="D62" s="296"/>
      <c r="E62" s="13"/>
      <c r="F62" s="296"/>
      <c r="G62" s="13"/>
      <c r="H62" s="296">
        <f>862.79</f>
        <v>862.79</v>
      </c>
      <c r="I62" s="13">
        <f>144+2579.84</f>
        <v>2723.84</v>
      </c>
      <c r="J62" s="296"/>
      <c r="K62" s="162"/>
      <c r="L62" s="45"/>
      <c r="M62" s="45"/>
      <c r="N62" s="45"/>
      <c r="O62" s="29">
        <f t="shared" si="12"/>
        <v>3636.63</v>
      </c>
      <c r="P62" s="251"/>
      <c r="Q62" s="252"/>
      <c r="R62" s="264">
        <v>5524</v>
      </c>
      <c r="S62" s="42" t="s">
        <v>47</v>
      </c>
      <c r="T62" s="195">
        <v>5000</v>
      </c>
      <c r="U62" s="195">
        <v>3636.63</v>
      </c>
      <c r="V62" s="323">
        <f t="shared" si="16"/>
        <v>72.732600000000005</v>
      </c>
      <c r="W62" s="195">
        <f t="shared" si="13"/>
        <v>1363.37</v>
      </c>
      <c r="X62" s="311"/>
      <c r="Y62" s="311"/>
      <c r="Z62" s="311"/>
      <c r="AA62" s="140"/>
      <c r="AB62" s="140"/>
      <c r="AC62" s="140"/>
      <c r="AD62" s="140"/>
      <c r="AE62" s="252"/>
    </row>
    <row r="63" spans="1:31" x14ac:dyDescent="0.25">
      <c r="A63" s="264">
        <v>5525</v>
      </c>
      <c r="B63" s="42" t="s">
        <v>48</v>
      </c>
      <c r="C63" s="13"/>
      <c r="D63" s="296">
        <f>1175.78</f>
        <v>1175.78</v>
      </c>
      <c r="E63" s="13"/>
      <c r="F63" s="296"/>
      <c r="G63" s="13"/>
      <c r="H63" s="296">
        <f>2264.64</f>
        <v>2264.64</v>
      </c>
      <c r="I63" s="13">
        <f>191.2</f>
        <v>191.2</v>
      </c>
      <c r="J63" s="296">
        <f>18.01</f>
        <v>18.010000000000002</v>
      </c>
      <c r="K63" s="162"/>
      <c r="L63" s="45"/>
      <c r="M63" s="45"/>
      <c r="N63" s="45"/>
      <c r="O63" s="29">
        <f t="shared" si="12"/>
        <v>3649.63</v>
      </c>
      <c r="P63" s="251"/>
      <c r="Q63" s="252"/>
      <c r="R63" s="264">
        <v>5525</v>
      </c>
      <c r="S63" s="42" t="s">
        <v>48</v>
      </c>
      <c r="T63" s="195">
        <v>1100</v>
      </c>
      <c r="U63" s="195">
        <v>3649.63</v>
      </c>
      <c r="V63" s="323">
        <f t="shared" si="16"/>
        <v>331.78454545454548</v>
      </c>
      <c r="W63" s="195">
        <f t="shared" si="13"/>
        <v>-2549.63</v>
      </c>
      <c r="X63" s="311"/>
      <c r="Y63" s="311"/>
      <c r="Z63" s="311"/>
      <c r="AA63" s="140"/>
      <c r="AB63" s="140"/>
      <c r="AC63" s="140"/>
      <c r="AD63" s="140"/>
      <c r="AE63" s="252"/>
    </row>
    <row r="64" spans="1:31" x14ac:dyDescent="0.25">
      <c r="A64" s="264">
        <v>5532</v>
      </c>
      <c r="B64" s="42" t="s">
        <v>49</v>
      </c>
      <c r="C64" s="13"/>
      <c r="D64" s="296"/>
      <c r="E64" s="13">
        <f>36.04+258.41</f>
        <v>294.45000000000005</v>
      </c>
      <c r="F64" s="296"/>
      <c r="G64" s="13"/>
      <c r="H64" s="296"/>
      <c r="I64" s="13">
        <f>327.94</f>
        <v>327.94</v>
      </c>
      <c r="J64" s="296"/>
      <c r="K64" s="162"/>
      <c r="L64" s="45"/>
      <c r="M64" s="45"/>
      <c r="N64" s="45"/>
      <c r="O64" s="29">
        <f t="shared" si="12"/>
        <v>622.3900000000001</v>
      </c>
      <c r="P64" s="251"/>
      <c r="Q64" s="252"/>
      <c r="R64" s="264">
        <v>5532</v>
      </c>
      <c r="S64" s="42" t="s">
        <v>49</v>
      </c>
      <c r="T64" s="195">
        <v>2150</v>
      </c>
      <c r="U64" s="195">
        <v>622.3900000000001</v>
      </c>
      <c r="V64" s="323"/>
      <c r="W64" s="195">
        <f t="shared" si="13"/>
        <v>1527.61</v>
      </c>
      <c r="X64" s="311"/>
      <c r="Y64" s="311"/>
      <c r="Z64" s="311"/>
      <c r="AA64" s="140"/>
      <c r="AB64" s="140"/>
      <c r="AC64" s="140"/>
      <c r="AD64" s="140"/>
      <c r="AE64" s="252"/>
    </row>
    <row r="65" spans="1:31" x14ac:dyDescent="0.25">
      <c r="A65" s="264">
        <v>5539</v>
      </c>
      <c r="B65" s="42" t="s">
        <v>51</v>
      </c>
      <c r="C65" s="13">
        <v>21.85</v>
      </c>
      <c r="D65" s="296"/>
      <c r="E65" s="13"/>
      <c r="F65" s="296"/>
      <c r="G65" s="13"/>
      <c r="H65" s="296"/>
      <c r="I65" s="13"/>
      <c r="J65" s="296"/>
      <c r="K65" s="162"/>
      <c r="L65" s="45"/>
      <c r="M65" s="45"/>
      <c r="N65" s="45"/>
      <c r="O65" s="29">
        <f t="shared" si="12"/>
        <v>21.85</v>
      </c>
      <c r="P65" s="251"/>
      <c r="Q65" s="252"/>
      <c r="R65" s="264">
        <v>5539</v>
      </c>
      <c r="S65" s="42" t="s">
        <v>51</v>
      </c>
      <c r="T65" s="195">
        <v>3400</v>
      </c>
      <c r="U65" s="195">
        <v>21.85</v>
      </c>
      <c r="V65" s="323">
        <f t="shared" ref="V65:V66" si="17">(U65/T65)*100</f>
        <v>0.64264705882352946</v>
      </c>
      <c r="W65" s="195">
        <f t="shared" si="13"/>
        <v>3378.15</v>
      </c>
      <c r="X65" s="311"/>
      <c r="Y65" s="311"/>
      <c r="Z65" s="311"/>
      <c r="AA65" s="140"/>
      <c r="AB65" s="140"/>
      <c r="AC65" s="140"/>
      <c r="AD65" s="140"/>
      <c r="AE65" s="252"/>
    </row>
    <row r="66" spans="1:31" x14ac:dyDescent="0.25">
      <c r="A66" s="264">
        <v>5540</v>
      </c>
      <c r="B66" s="42" t="s">
        <v>52</v>
      </c>
      <c r="C66" s="13"/>
      <c r="D66" s="296">
        <f>64.92+57.19</f>
        <v>122.11</v>
      </c>
      <c r="E66" s="13">
        <f>387.01+73.8</f>
        <v>460.81</v>
      </c>
      <c r="F66" s="296">
        <f>19.5</f>
        <v>19.5</v>
      </c>
      <c r="G66" s="13">
        <f>10.5</f>
        <v>10.5</v>
      </c>
      <c r="H66" s="296"/>
      <c r="I66" s="13">
        <f>200+11.65</f>
        <v>211.65</v>
      </c>
      <c r="J66" s="296"/>
      <c r="K66" s="162"/>
      <c r="L66" s="45"/>
      <c r="M66" s="45"/>
      <c r="N66" s="45"/>
      <c r="O66" s="29">
        <f>SUM(C66:N66)</f>
        <v>824.56999999999994</v>
      </c>
      <c r="P66" s="251"/>
      <c r="Q66" s="252"/>
      <c r="R66" s="264">
        <v>5540</v>
      </c>
      <c r="S66" s="42" t="s">
        <v>52</v>
      </c>
      <c r="T66" s="195">
        <v>13400</v>
      </c>
      <c r="U66" s="195">
        <v>824.56999999999994</v>
      </c>
      <c r="V66" s="323">
        <f t="shared" si="17"/>
        <v>6.1535074626865667</v>
      </c>
      <c r="W66" s="195">
        <f t="shared" si="13"/>
        <v>12575.43</v>
      </c>
      <c r="X66" s="311"/>
      <c r="Y66" s="311"/>
      <c r="Z66" s="311"/>
      <c r="AA66" s="140"/>
      <c r="AB66" s="140"/>
      <c r="AC66" s="140"/>
      <c r="AD66" s="140"/>
      <c r="AE66" s="252"/>
    </row>
    <row r="67" spans="1:31" x14ac:dyDescent="0.25">
      <c r="A67" s="264">
        <v>4528</v>
      </c>
      <c r="B67" s="42" t="s">
        <v>53</v>
      </c>
      <c r="C67" s="13">
        <f>53</f>
        <v>53</v>
      </c>
      <c r="D67" s="296"/>
      <c r="E67" s="13"/>
      <c r="F67" s="296"/>
      <c r="G67" s="13"/>
      <c r="H67" s="296"/>
      <c r="I67" s="13"/>
      <c r="J67" s="296"/>
      <c r="K67" s="162"/>
      <c r="L67" s="45"/>
      <c r="M67" s="45"/>
      <c r="N67" s="45"/>
      <c r="O67" s="29">
        <f>SUM(C67:N67)</f>
        <v>53</v>
      </c>
      <c r="P67" s="251"/>
      <c r="Q67" s="252"/>
      <c r="R67" s="264">
        <v>4528</v>
      </c>
      <c r="S67" s="42" t="s">
        <v>53</v>
      </c>
      <c r="T67" s="203"/>
      <c r="U67" s="195">
        <v>53</v>
      </c>
      <c r="V67" s="323"/>
      <c r="W67" s="195">
        <f t="shared" si="13"/>
        <v>-53</v>
      </c>
      <c r="X67" s="311"/>
      <c r="Y67" s="311"/>
      <c r="Z67" s="311"/>
      <c r="AA67" s="140"/>
      <c r="AB67" s="140"/>
      <c r="AC67" s="140"/>
      <c r="AD67" s="140"/>
      <c r="AE67" s="252"/>
    </row>
    <row r="68" spans="1:31" x14ac:dyDescent="0.25">
      <c r="A68" s="264">
        <v>6010</v>
      </c>
      <c r="B68" s="15" t="s">
        <v>54</v>
      </c>
      <c r="C68" s="13"/>
      <c r="D68" s="296"/>
      <c r="E68" s="13"/>
      <c r="F68" s="296"/>
      <c r="G68" s="13"/>
      <c r="H68" s="296"/>
      <c r="I68" s="13"/>
      <c r="J68" s="296"/>
      <c r="K68" s="162"/>
      <c r="L68" s="45"/>
      <c r="M68" s="45"/>
      <c r="N68" s="45"/>
      <c r="O68" s="29">
        <f>SUM(C68:N68)</f>
        <v>0</v>
      </c>
      <c r="P68" s="251"/>
      <c r="Q68" s="252"/>
      <c r="R68" s="264">
        <v>6010</v>
      </c>
      <c r="S68" s="15" t="s">
        <v>54</v>
      </c>
      <c r="T68" s="195"/>
      <c r="U68" s="195">
        <v>0</v>
      </c>
      <c r="V68" s="323"/>
      <c r="W68" s="195">
        <f t="shared" si="13"/>
        <v>0</v>
      </c>
      <c r="X68" s="311"/>
      <c r="Y68" s="311"/>
      <c r="Z68" s="311"/>
      <c r="AA68" s="140"/>
      <c r="AB68" s="140"/>
      <c r="AC68" s="140"/>
      <c r="AD68" s="140"/>
      <c r="AE68" s="252"/>
    </row>
    <row r="69" spans="1:31" x14ac:dyDescent="0.25">
      <c r="A69" s="297" t="s">
        <v>77</v>
      </c>
      <c r="B69" s="144" t="s">
        <v>78</v>
      </c>
      <c r="C69" s="145"/>
      <c r="D69" s="296"/>
      <c r="E69" s="146"/>
      <c r="F69" s="296"/>
      <c r="G69" s="146"/>
      <c r="H69" s="296"/>
      <c r="I69" s="146"/>
      <c r="J69" s="296"/>
      <c r="K69" s="163"/>
      <c r="L69" s="86"/>
      <c r="M69" s="86"/>
      <c r="N69" s="25">
        <f>24190.61+4032.64</f>
        <v>28223.25</v>
      </c>
      <c r="O69" s="29">
        <f t="shared" si="12"/>
        <v>28223.25</v>
      </c>
      <c r="P69" s="251"/>
      <c r="Q69" s="252"/>
      <c r="R69" s="297" t="s">
        <v>77</v>
      </c>
      <c r="S69" s="144" t="s">
        <v>78</v>
      </c>
      <c r="T69" s="197"/>
      <c r="U69" s="197">
        <v>28223.25</v>
      </c>
      <c r="V69" s="329"/>
      <c r="W69" s="197">
        <f t="shared" si="13"/>
        <v>-28223.25</v>
      </c>
      <c r="X69" s="311"/>
      <c r="Y69" s="311"/>
      <c r="Z69" s="311"/>
      <c r="AA69" s="140"/>
      <c r="AB69" s="140"/>
      <c r="AC69" s="140"/>
      <c r="AD69" s="140"/>
      <c r="AE69" s="252"/>
    </row>
    <row r="70" spans="1:31" x14ac:dyDescent="0.25">
      <c r="A70" s="298"/>
      <c r="B70" s="86"/>
      <c r="C70" s="84">
        <f t="shared" ref="C70:O70" si="18">SUM(C50:C69)</f>
        <v>71048.23</v>
      </c>
      <c r="D70" s="28">
        <f t="shared" si="18"/>
        <v>14215.150000000001</v>
      </c>
      <c r="E70" s="28">
        <f t="shared" si="18"/>
        <v>143825.68</v>
      </c>
      <c r="F70" s="28">
        <f t="shared" si="18"/>
        <v>54965.950000000004</v>
      </c>
      <c r="G70" s="28">
        <f t="shared" si="18"/>
        <v>40122.57</v>
      </c>
      <c r="H70" s="84">
        <f t="shared" si="18"/>
        <v>5053.8500000000004</v>
      </c>
      <c r="I70" s="84">
        <f t="shared" si="18"/>
        <v>19726.79</v>
      </c>
      <c r="J70" s="84">
        <f t="shared" si="18"/>
        <v>4519.8100000000004</v>
      </c>
      <c r="K70" s="84">
        <f t="shared" si="18"/>
        <v>0</v>
      </c>
      <c r="L70" s="84">
        <f t="shared" si="18"/>
        <v>2075</v>
      </c>
      <c r="M70" s="84">
        <f t="shared" si="18"/>
        <v>920</v>
      </c>
      <c r="N70" s="84">
        <f t="shared" si="18"/>
        <v>28223.25</v>
      </c>
      <c r="O70" s="28">
        <f t="shared" si="18"/>
        <v>384696.28</v>
      </c>
      <c r="P70" s="259">
        <v>384696.28</v>
      </c>
      <c r="Q70" s="273"/>
      <c r="R70" s="298"/>
      <c r="S70" s="86"/>
      <c r="T70" s="192">
        <v>640000</v>
      </c>
      <c r="U70" s="192">
        <v>384696.28</v>
      </c>
      <c r="V70" s="320">
        <f>(U70/T70)*100</f>
        <v>60.108793750000004</v>
      </c>
      <c r="W70" s="197">
        <f>T70-U70</f>
        <v>255303.71999999997</v>
      </c>
      <c r="X70" s="311"/>
      <c r="Y70" s="311"/>
      <c r="Z70" s="311"/>
      <c r="AA70" s="140"/>
      <c r="AB70" s="140"/>
      <c r="AC70" s="140"/>
      <c r="AD70" s="140"/>
      <c r="AE70" s="252"/>
    </row>
    <row r="71" spans="1:31" x14ac:dyDescent="0.25">
      <c r="A71" s="250"/>
      <c r="B71" s="140"/>
      <c r="C71" s="100"/>
      <c r="D71" s="100"/>
      <c r="E71" s="100"/>
      <c r="F71" s="100"/>
      <c r="G71" s="100"/>
      <c r="H71" s="100"/>
      <c r="I71" s="33"/>
      <c r="J71" s="100"/>
      <c r="K71" s="140"/>
      <c r="L71" s="33"/>
      <c r="M71" s="205"/>
      <c r="N71" s="33"/>
      <c r="O71" s="28">
        <f>SUM(C70:N70)</f>
        <v>384696.27999999997</v>
      </c>
      <c r="P71" s="272"/>
      <c r="Q71" s="273"/>
      <c r="R71" s="250"/>
      <c r="S71" s="140"/>
      <c r="T71" s="311"/>
      <c r="U71" s="311"/>
      <c r="V71" s="311"/>
      <c r="W71" s="311"/>
      <c r="X71" s="311"/>
      <c r="Y71" s="311"/>
      <c r="Z71" s="311"/>
      <c r="AA71" s="140"/>
      <c r="AB71" s="140"/>
      <c r="AC71" s="140"/>
      <c r="AD71" s="140"/>
      <c r="AE71" s="252"/>
    </row>
    <row r="72" spans="1:31" x14ac:dyDescent="0.25">
      <c r="A72" s="250"/>
      <c r="B72" s="140"/>
      <c r="C72" s="140"/>
      <c r="D72" s="269"/>
      <c r="E72" s="269"/>
      <c r="F72" s="269"/>
      <c r="G72" s="269"/>
      <c r="H72" s="269"/>
      <c r="I72" s="140"/>
      <c r="J72" s="140"/>
      <c r="K72" s="140"/>
      <c r="L72" s="205"/>
      <c r="M72" s="205"/>
      <c r="N72" s="205"/>
      <c r="O72" s="205"/>
      <c r="P72" s="251"/>
      <c r="Q72" s="252"/>
      <c r="R72" s="250"/>
      <c r="S72" s="140"/>
      <c r="T72" s="311"/>
      <c r="U72" s="311"/>
      <c r="V72" s="311"/>
      <c r="W72" s="311"/>
      <c r="X72" s="311"/>
      <c r="Y72" s="311"/>
      <c r="Z72" s="311"/>
      <c r="AA72" s="140"/>
      <c r="AB72" s="140"/>
      <c r="AC72" s="140"/>
      <c r="AD72" s="140"/>
      <c r="AE72" s="252"/>
    </row>
    <row r="73" spans="1:31" x14ac:dyDescent="0.25">
      <c r="A73" s="25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205"/>
      <c r="M73" s="205"/>
      <c r="N73" s="205"/>
      <c r="O73" s="205"/>
      <c r="P73" s="251"/>
      <c r="Q73" s="252"/>
      <c r="R73" s="250"/>
      <c r="S73" s="140"/>
      <c r="T73" s="311"/>
      <c r="U73" s="311"/>
      <c r="V73" s="311"/>
      <c r="W73" s="311"/>
      <c r="X73" s="311"/>
      <c r="Y73" s="311"/>
      <c r="Z73" s="311"/>
      <c r="AA73" s="140"/>
      <c r="AB73" s="140"/>
      <c r="AC73" s="140"/>
      <c r="AD73" s="140"/>
      <c r="AE73" s="252"/>
    </row>
    <row r="74" spans="1:31" x14ac:dyDescent="0.25">
      <c r="A74" s="299" t="s">
        <v>55</v>
      </c>
      <c r="B74" s="33" t="s">
        <v>79</v>
      </c>
      <c r="C74" s="140"/>
      <c r="D74" s="140"/>
      <c r="E74" s="140"/>
      <c r="F74" s="140"/>
      <c r="G74" s="140"/>
      <c r="H74" s="140"/>
      <c r="I74" s="140"/>
      <c r="J74" s="140"/>
      <c r="K74" s="140"/>
      <c r="L74" s="205"/>
      <c r="M74" s="205"/>
      <c r="N74" s="205"/>
      <c r="O74" s="205"/>
      <c r="P74" s="251"/>
      <c r="Q74" s="252"/>
      <c r="R74" s="250"/>
      <c r="S74" s="140"/>
      <c r="T74" s="311"/>
      <c r="U74" s="311"/>
      <c r="V74" s="311"/>
      <c r="W74" s="311"/>
      <c r="X74" s="311"/>
      <c r="Y74" s="311"/>
      <c r="Z74" s="311"/>
      <c r="AA74" s="140"/>
      <c r="AB74" s="140"/>
      <c r="AC74" s="140"/>
      <c r="AD74" s="140"/>
      <c r="AE74" s="252"/>
    </row>
    <row r="75" spans="1:31" ht="16.5" thickBot="1" x14ac:dyDescent="0.3">
      <c r="A75" s="300"/>
      <c r="B75" s="301"/>
      <c r="C75" s="301"/>
      <c r="D75" s="301"/>
      <c r="E75" s="301"/>
      <c r="F75" s="301"/>
      <c r="G75" s="301"/>
      <c r="H75" s="301"/>
      <c r="I75" s="301"/>
      <c r="J75" s="301"/>
      <c r="K75" s="301"/>
      <c r="L75" s="302"/>
      <c r="M75" s="302"/>
      <c r="N75" s="302"/>
      <c r="O75" s="302"/>
      <c r="P75" s="303"/>
      <c r="Q75" s="304"/>
      <c r="R75" s="300"/>
      <c r="S75" s="301"/>
      <c r="T75" s="313"/>
      <c r="U75" s="313"/>
      <c r="V75" s="313"/>
      <c r="W75" s="313"/>
      <c r="X75" s="313"/>
      <c r="Y75" s="313"/>
      <c r="Z75" s="313"/>
      <c r="AA75" s="301"/>
      <c r="AB75" s="301"/>
      <c r="AC75" s="301"/>
      <c r="AD75" s="301"/>
      <c r="AE75" s="304"/>
    </row>
  </sheetData>
  <printOptions gridLines="1"/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Oktoober '14</vt:lpstr>
      <vt:lpstr>10 kuud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Evelin</cp:lastModifiedBy>
  <cp:lastPrinted>2014-11-21T07:20:03Z</cp:lastPrinted>
  <dcterms:created xsi:type="dcterms:W3CDTF">2014-11-20T08:48:15Z</dcterms:created>
  <dcterms:modified xsi:type="dcterms:W3CDTF">2014-12-02T08:23:02Z</dcterms:modified>
</cp:coreProperties>
</file>